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fmsato/Library/Mobile Documents/com~apple~CloudDocs/Documents/Education/2019 Esp Proteção/Monografia/5_Arquivos de apoio/Cálculos/"/>
    </mc:Choice>
  </mc:AlternateContent>
  <xr:revisionPtr revIDLastSave="0" documentId="13_ncr:1_{0DCC44F8-B91C-B342-8F78-E42A022EFE1F}" xr6:coauthVersionLast="45" xr6:coauthVersionMax="45" xr10:uidLastSave="{00000000-0000-0000-0000-000000000000}"/>
  <bookViews>
    <workbookView xWindow="12800" yWindow="460" windowWidth="25600" windowHeight="20120" xr2:uid="{E9ACDC5C-CBAD-E74B-8F4D-F7103F22C0E3}"/>
  </bookViews>
  <sheets>
    <sheet name="Complete" sheetId="12" r:id="rId1"/>
    <sheet name="Table1" sheetId="2" r:id="rId2"/>
    <sheet name="Table2" sheetId="4" r:id="rId3"/>
    <sheet name="Table3" sheetId="6" r:id="rId4"/>
    <sheet name="Table4" sheetId="7" r:id="rId5"/>
    <sheet name="Table5" sheetId="8" r:id="rId6"/>
    <sheet name="Table7" sheetId="5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0" i="12" l="1"/>
  <c r="S10" i="12"/>
  <c r="T10" i="12"/>
  <c r="U10" i="12"/>
  <c r="W10" i="12"/>
  <c r="J10" i="12"/>
  <c r="K10" i="12"/>
  <c r="M10" i="12" s="1"/>
  <c r="L10" i="12"/>
  <c r="N10" i="12" s="1"/>
  <c r="AU10" i="12"/>
  <c r="AV10" i="12" s="1"/>
  <c r="R11" i="12"/>
  <c r="S11" i="12"/>
  <c r="T11" i="12"/>
  <c r="U11" i="12"/>
  <c r="W11" i="12"/>
  <c r="J11" i="12"/>
  <c r="K11" i="12"/>
  <c r="L11" i="12"/>
  <c r="N11" i="12" s="1"/>
  <c r="AU11" i="12"/>
  <c r="AV11" i="12" s="1"/>
  <c r="AY11" i="12" s="1"/>
  <c r="R12" i="12"/>
  <c r="Y12" i="12" s="1"/>
  <c r="S12" i="12"/>
  <c r="T12" i="12"/>
  <c r="U12" i="12"/>
  <c r="W12" i="12"/>
  <c r="J12" i="12"/>
  <c r="K12" i="12"/>
  <c r="M12" i="12" s="1"/>
  <c r="L12" i="12"/>
  <c r="N12" i="12" s="1"/>
  <c r="AU12" i="12"/>
  <c r="AV12" i="12" s="1"/>
  <c r="R13" i="12"/>
  <c r="Y13" i="12" s="1"/>
  <c r="S13" i="12"/>
  <c r="T13" i="12"/>
  <c r="U13" i="12"/>
  <c r="W13" i="12"/>
  <c r="J13" i="12"/>
  <c r="K13" i="12"/>
  <c r="L13" i="12"/>
  <c r="AU13" i="12"/>
  <c r="AV13" i="12" s="1"/>
  <c r="AY13" i="12" s="1"/>
  <c r="R14" i="12"/>
  <c r="S14" i="12"/>
  <c r="T14" i="12"/>
  <c r="U14" i="12"/>
  <c r="W14" i="12"/>
  <c r="J14" i="12"/>
  <c r="P14" i="12" s="1"/>
  <c r="K14" i="12"/>
  <c r="M14" i="12" s="1"/>
  <c r="L14" i="12"/>
  <c r="N14" i="12" s="1"/>
  <c r="AU14" i="12"/>
  <c r="AV14" i="12" s="1"/>
  <c r="R15" i="12"/>
  <c r="S15" i="12"/>
  <c r="T15" i="12"/>
  <c r="U15" i="12"/>
  <c r="W15" i="12"/>
  <c r="J15" i="12"/>
  <c r="P15" i="12" s="1"/>
  <c r="K15" i="12"/>
  <c r="L15" i="12"/>
  <c r="AU15" i="12"/>
  <c r="AV15" i="12" s="1"/>
  <c r="R16" i="12"/>
  <c r="Y16" i="12" s="1"/>
  <c r="S16" i="12"/>
  <c r="T16" i="12"/>
  <c r="U16" i="12"/>
  <c r="W16" i="12"/>
  <c r="Z16" i="12"/>
  <c r="J16" i="12"/>
  <c r="P16" i="12" s="1"/>
  <c r="K16" i="12"/>
  <c r="M16" i="12" s="1"/>
  <c r="L16" i="12"/>
  <c r="AU16" i="12"/>
  <c r="AV16" i="12" s="1"/>
  <c r="R17" i="12"/>
  <c r="Z17" i="12" s="1"/>
  <c r="S17" i="12"/>
  <c r="T17" i="12"/>
  <c r="U17" i="12"/>
  <c r="W17" i="12"/>
  <c r="J17" i="12"/>
  <c r="P17" i="12" s="1"/>
  <c r="K17" i="12"/>
  <c r="L17" i="12"/>
  <c r="N17" i="12" s="1"/>
  <c r="AU17" i="12"/>
  <c r="AV17" i="12" s="1"/>
  <c r="R18" i="12"/>
  <c r="Y18" i="12" s="1"/>
  <c r="S18" i="12"/>
  <c r="T18" i="12"/>
  <c r="U18" i="12"/>
  <c r="W18" i="12"/>
  <c r="J18" i="12"/>
  <c r="P18" i="12" s="1"/>
  <c r="K18" i="12"/>
  <c r="M18" i="12" s="1"/>
  <c r="L18" i="12"/>
  <c r="AU18" i="12"/>
  <c r="AV18" i="12" s="1"/>
  <c r="R19" i="12"/>
  <c r="Y19" i="12" s="1"/>
  <c r="S19" i="12"/>
  <c r="T19" i="12"/>
  <c r="U19" i="12"/>
  <c r="W19" i="12"/>
  <c r="J19" i="12"/>
  <c r="P19" i="12" s="1"/>
  <c r="K19" i="12"/>
  <c r="L19" i="12"/>
  <c r="N19" i="12" s="1"/>
  <c r="AU19" i="12"/>
  <c r="AV19" i="12" s="1"/>
  <c r="R20" i="12"/>
  <c r="Y20" i="12" s="1"/>
  <c r="S20" i="12"/>
  <c r="T20" i="12"/>
  <c r="U20" i="12"/>
  <c r="W20" i="12"/>
  <c r="J20" i="12"/>
  <c r="P20" i="12" s="1"/>
  <c r="K20" i="12"/>
  <c r="M20" i="12" s="1"/>
  <c r="L20" i="12"/>
  <c r="AU20" i="12"/>
  <c r="AV20" i="12" s="1"/>
  <c r="R21" i="12"/>
  <c r="Z21" i="12" s="1"/>
  <c r="S21" i="12"/>
  <c r="T21" i="12"/>
  <c r="U21" i="12"/>
  <c r="W21" i="12"/>
  <c r="J21" i="12"/>
  <c r="P21" i="12" s="1"/>
  <c r="K21" i="12"/>
  <c r="L21" i="12"/>
  <c r="N21" i="12" s="1"/>
  <c r="AU21" i="12"/>
  <c r="AV21" i="12" s="1"/>
  <c r="R22" i="12"/>
  <c r="S22" i="12"/>
  <c r="T22" i="12"/>
  <c r="U22" i="12"/>
  <c r="W22" i="12"/>
  <c r="Y22" i="12"/>
  <c r="J22" i="12"/>
  <c r="P22" i="12" s="1"/>
  <c r="K22" i="12"/>
  <c r="L22" i="12"/>
  <c r="N22" i="12" s="1"/>
  <c r="AU22" i="12"/>
  <c r="AV22" i="12" s="1"/>
  <c r="O14" i="12" l="1"/>
  <c r="O12" i="12"/>
  <c r="O10" i="12"/>
  <c r="M21" i="12"/>
  <c r="O21" i="12" s="1"/>
  <c r="M19" i="12"/>
  <c r="O19" i="12" s="1"/>
  <c r="M17" i="12"/>
  <c r="O17" i="12" s="1"/>
  <c r="N15" i="12"/>
  <c r="N13" i="12"/>
  <c r="M15" i="12"/>
  <c r="O15" i="12" s="1"/>
  <c r="M13" i="12"/>
  <c r="M11" i="12"/>
  <c r="O11" i="12" s="1"/>
  <c r="M22" i="12"/>
  <c r="O22" i="12" s="1"/>
  <c r="N20" i="12"/>
  <c r="O20" i="12" s="1"/>
  <c r="N18" i="12"/>
  <c r="O18" i="12" s="1"/>
  <c r="N16" i="12"/>
  <c r="O16" i="12" s="1"/>
  <c r="X10" i="12"/>
  <c r="Z10" i="12" s="1"/>
  <c r="Y17" i="12"/>
  <c r="Z20" i="12"/>
  <c r="AA20" i="12" s="1"/>
  <c r="Z19" i="12"/>
  <c r="AA19" i="12" s="1"/>
  <c r="X12" i="12"/>
  <c r="Z12" i="12" s="1"/>
  <c r="AA12" i="12" s="1"/>
  <c r="AB12" i="12" s="1"/>
  <c r="AD12" i="12" s="1"/>
  <c r="AW10" i="12"/>
  <c r="X15" i="12"/>
  <c r="Z15" i="12" s="1"/>
  <c r="Z18" i="12"/>
  <c r="AA18" i="12" s="1"/>
  <c r="AC18" i="12" s="1"/>
  <c r="V10" i="12"/>
  <c r="Y10" i="12" s="1"/>
  <c r="AA10" i="12" s="1"/>
  <c r="P10" i="12"/>
  <c r="V19" i="12"/>
  <c r="X22" i="12"/>
  <c r="Z22" i="12" s="1"/>
  <c r="AA22" i="12" s="1"/>
  <c r="AC22" i="12" s="1"/>
  <c r="AW19" i="12"/>
  <c r="AW20" i="12"/>
  <c r="BC19" i="12"/>
  <c r="V17" i="12"/>
  <c r="V11" i="12"/>
  <c r="Y11" i="12" s="1"/>
  <c r="BC18" i="12"/>
  <c r="AW13" i="12"/>
  <c r="V15" i="12"/>
  <c r="Y15" i="12" s="1"/>
  <c r="V14" i="12"/>
  <c r="Y14" i="12" s="1"/>
  <c r="AA17" i="12"/>
  <c r="AC17" i="12" s="1"/>
  <c r="AX16" i="12"/>
  <c r="BC16" i="12"/>
  <c r="AW17" i="12"/>
  <c r="AY17" i="12"/>
  <c r="BC17" i="12"/>
  <c r="AW16" i="12"/>
  <c r="AX10" i="12"/>
  <c r="V22" i="12"/>
  <c r="X16" i="12"/>
  <c r="V16" i="12"/>
  <c r="X14" i="12"/>
  <c r="Z14" i="12" s="1"/>
  <c r="AA14" i="12" s="1"/>
  <c r="AW11" i="12"/>
  <c r="X13" i="12"/>
  <c r="Z13" i="12" s="1"/>
  <c r="AA13" i="12" s="1"/>
  <c r="AB13" i="12" s="1"/>
  <c r="AD13" i="12" s="1"/>
  <c r="V12" i="12"/>
  <c r="AY19" i="12"/>
  <c r="AA16" i="12"/>
  <c r="P11" i="12"/>
  <c r="AY20" i="12"/>
  <c r="X19" i="12"/>
  <c r="Y21" i="12"/>
  <c r="AA21" i="12" s="1"/>
  <c r="BC20" i="12"/>
  <c r="AX12" i="12"/>
  <c r="X11" i="12"/>
  <c r="Z11" i="12" s="1"/>
  <c r="AX20" i="12"/>
  <c r="AX21" i="12"/>
  <c r="AY21" i="12"/>
  <c r="V21" i="12"/>
  <c r="X21" i="12"/>
  <c r="AW14" i="12"/>
  <c r="BC14" i="12"/>
  <c r="AW21" i="12"/>
  <c r="BC21" i="12"/>
  <c r="X18" i="12"/>
  <c r="V20" i="12"/>
  <c r="AX22" i="12"/>
  <c r="AW22" i="12"/>
  <c r="BC22" i="12"/>
  <c r="AY18" i="12"/>
  <c r="X20" i="12"/>
  <c r="AX17" i="12"/>
  <c r="AY22" i="12"/>
  <c r="AX19" i="12"/>
  <c r="AW15" i="12"/>
  <c r="BC15" i="12"/>
  <c r="AX15" i="12"/>
  <c r="AY15" i="12"/>
  <c r="AY12" i="12"/>
  <c r="P12" i="12"/>
  <c r="AX18" i="12"/>
  <c r="V18" i="12"/>
  <c r="X17" i="12"/>
  <c r="AX14" i="12"/>
  <c r="AY14" i="12"/>
  <c r="AX13" i="12"/>
  <c r="P13" i="12"/>
  <c r="V13" i="12"/>
  <c r="AW18" i="12"/>
  <c r="AY16" i="12"/>
  <c r="AW12" i="12"/>
  <c r="AX11" i="12"/>
  <c r="AY10" i="12"/>
  <c r="AU9" i="12"/>
  <c r="AV9" i="12" s="1"/>
  <c r="L9" i="12"/>
  <c r="N9" i="12" s="1"/>
  <c r="K9" i="12"/>
  <c r="J9" i="12"/>
  <c r="P9" i="12" s="1"/>
  <c r="W9" i="12"/>
  <c r="U9" i="12"/>
  <c r="T9" i="12"/>
  <c r="S9" i="12"/>
  <c r="R9" i="12"/>
  <c r="AU8" i="12"/>
  <c r="AV8" i="12" s="1"/>
  <c r="L8" i="12"/>
  <c r="K8" i="12"/>
  <c r="M8" i="12" s="1"/>
  <c r="J8" i="12"/>
  <c r="W8" i="12"/>
  <c r="U8" i="12"/>
  <c r="T8" i="12"/>
  <c r="S8" i="12"/>
  <c r="R8" i="12"/>
  <c r="N8" i="12" l="1"/>
  <c r="M9" i="12"/>
  <c r="O9" i="12" s="1"/>
  <c r="O8" i="12"/>
  <c r="AC12" i="12"/>
  <c r="O13" i="12"/>
  <c r="AA15" i="12"/>
  <c r="AC15" i="12" s="1"/>
  <c r="AH12" i="12"/>
  <c r="AG12" i="12"/>
  <c r="AE12" i="12"/>
  <c r="AN12" i="12"/>
  <c r="BG12" i="12"/>
  <c r="AB20" i="12"/>
  <c r="AD20" i="12" s="1"/>
  <c r="AG20" i="12" s="1"/>
  <c r="AC20" i="12"/>
  <c r="BA20" i="12"/>
  <c r="AZ12" i="12"/>
  <c r="AA11" i="12"/>
  <c r="AM12" i="12"/>
  <c r="AB22" i="12"/>
  <c r="AD22" i="12" s="1"/>
  <c r="AH22" i="12" s="1"/>
  <c r="AP12" i="12"/>
  <c r="AC13" i="12"/>
  <c r="AB10" i="12"/>
  <c r="AD10" i="12" s="1"/>
  <c r="BO10" i="12" s="1"/>
  <c r="AC10" i="12"/>
  <c r="AN13" i="12"/>
  <c r="AG13" i="12"/>
  <c r="BH13" i="12"/>
  <c r="BF13" i="12"/>
  <c r="AO13" i="12"/>
  <c r="AF13" i="12"/>
  <c r="AM13" i="12"/>
  <c r="BN13" i="12"/>
  <c r="AB17" i="12"/>
  <c r="AD17" i="12" s="1"/>
  <c r="BH17" i="12" s="1"/>
  <c r="AE13" i="12"/>
  <c r="AB18" i="12"/>
  <c r="AD18" i="12" s="1"/>
  <c r="AB21" i="12"/>
  <c r="AD21" i="12" s="1"/>
  <c r="AN21" i="12" s="1"/>
  <c r="AC21" i="12"/>
  <c r="AF20" i="12"/>
  <c r="AB16" i="12"/>
  <c r="AD16" i="12" s="1"/>
  <c r="BE16" i="12" s="1"/>
  <c r="BL16" i="12" s="1"/>
  <c r="AC16" i="12"/>
  <c r="AZ10" i="12"/>
  <c r="BM20" i="12"/>
  <c r="BT20" i="12" s="1"/>
  <c r="AE18" i="12"/>
  <c r="AL18" i="12" s="1"/>
  <c r="AZ16" i="12"/>
  <c r="BG16" i="12"/>
  <c r="BF22" i="12"/>
  <c r="BN22" i="12"/>
  <c r="AF22" i="12"/>
  <c r="AN22" i="12"/>
  <c r="AO22" i="12"/>
  <c r="AE22" i="12"/>
  <c r="AL22" i="12" s="1"/>
  <c r="AZ13" i="12"/>
  <c r="BG13" i="12"/>
  <c r="BO13" i="12"/>
  <c r="AZ11" i="12"/>
  <c r="BG18" i="12"/>
  <c r="AZ18" i="12"/>
  <c r="BO18" i="12"/>
  <c r="AZ19" i="12"/>
  <c r="AB19" i="12"/>
  <c r="AD19" i="12" s="1"/>
  <c r="BO19" i="12" s="1"/>
  <c r="AC19" i="12"/>
  <c r="BO22" i="12"/>
  <c r="AZ22" i="12"/>
  <c r="BG22" i="12"/>
  <c r="BE21" i="12"/>
  <c r="BL21" i="12" s="1"/>
  <c r="AO20" i="12"/>
  <c r="AJ12" i="12"/>
  <c r="AL12" i="12" s="1"/>
  <c r="BA15" i="12"/>
  <c r="AO12" i="12"/>
  <c r="AQ12" i="12" s="1"/>
  <c r="AF12" i="12"/>
  <c r="AI12" i="12" s="1"/>
  <c r="BA19" i="12"/>
  <c r="AF21" i="12"/>
  <c r="BN20" i="12"/>
  <c r="AF18" i="12"/>
  <c r="AN18" i="12"/>
  <c r="AH18" i="12"/>
  <c r="AO18" i="12"/>
  <c r="AE20" i="12"/>
  <c r="AL20" i="12" s="1"/>
  <c r="AQ13" i="12"/>
  <c r="BA16" i="12"/>
  <c r="BB16" i="12" s="1"/>
  <c r="BH16" i="12"/>
  <c r="BJ16" i="12" s="1"/>
  <c r="BP16" i="12"/>
  <c r="BF18" i="12"/>
  <c r="BN18" i="12"/>
  <c r="BA14" i="12"/>
  <c r="AZ15" i="12"/>
  <c r="AG22" i="12"/>
  <c r="AI22" i="12" s="1"/>
  <c r="AZ17" i="12"/>
  <c r="BG17" i="12"/>
  <c r="BO17" i="12"/>
  <c r="BH20" i="12"/>
  <c r="AH13" i="12"/>
  <c r="AJ13" i="12" s="1"/>
  <c r="AL13" i="12" s="1"/>
  <c r="AP13" i="12"/>
  <c r="AR13" i="12" s="1"/>
  <c r="AT13" i="12" s="1"/>
  <c r="BP13" i="12"/>
  <c r="BR13" i="12" s="1"/>
  <c r="BT13" i="12" s="1"/>
  <c r="BM21" i="12"/>
  <c r="BT21" i="12" s="1"/>
  <c r="BF20" i="12"/>
  <c r="AI13" i="12"/>
  <c r="AZ14" i="12"/>
  <c r="BB14" i="12" s="1"/>
  <c r="BA12" i="12"/>
  <c r="BC12" i="12" s="1"/>
  <c r="BH12" i="12"/>
  <c r="BJ12" i="12" s="1"/>
  <c r="BL12" i="12" s="1"/>
  <c r="BP12" i="12"/>
  <c r="BP22" i="12"/>
  <c r="BR22" i="12" s="1"/>
  <c r="BA22" i="12"/>
  <c r="BH22" i="12"/>
  <c r="BJ22" i="12" s="1"/>
  <c r="BH18" i="12"/>
  <c r="BJ18" i="12" s="1"/>
  <c r="BA18" i="12"/>
  <c r="BP18" i="12"/>
  <c r="BR18" i="12" s="1"/>
  <c r="AP22" i="12"/>
  <c r="AR22" i="12" s="1"/>
  <c r="AP20" i="12"/>
  <c r="AH20" i="12"/>
  <c r="AJ20" i="12" s="1"/>
  <c r="BF21" i="12"/>
  <c r="BN21" i="12"/>
  <c r="BP21" i="12"/>
  <c r="BA21" i="12"/>
  <c r="BH21" i="12"/>
  <c r="BA10" i="12"/>
  <c r="BH10" i="12"/>
  <c r="BP10" i="12"/>
  <c r="BF12" i="12"/>
  <c r="BI12" i="12" s="1"/>
  <c r="BN12" i="12"/>
  <c r="BJ13" i="12"/>
  <c r="BL13" i="12" s="1"/>
  <c r="BA13" i="12"/>
  <c r="BC13" i="12" s="1"/>
  <c r="BA11" i="12"/>
  <c r="BC11" i="12" s="1"/>
  <c r="AG21" i="12"/>
  <c r="AI21" i="12" s="1"/>
  <c r="AO21" i="12"/>
  <c r="AQ21" i="12" s="1"/>
  <c r="AH21" i="12"/>
  <c r="AP21" i="12"/>
  <c r="BO12" i="12"/>
  <c r="AB14" i="12"/>
  <c r="AD14" i="12" s="1"/>
  <c r="BP14" i="12" s="1"/>
  <c r="AC14" i="12"/>
  <c r="BA17" i="12"/>
  <c r="BE22" i="12"/>
  <c r="BL22" i="12" s="1"/>
  <c r="BM22" i="12"/>
  <c r="BT22" i="12" s="1"/>
  <c r="BP20" i="12"/>
  <c r="AM22" i="12"/>
  <c r="AT22" i="12" s="1"/>
  <c r="AM21" i="12"/>
  <c r="AT21" i="12" s="1"/>
  <c r="AE21" i="12"/>
  <c r="AL21" i="12" s="1"/>
  <c r="AZ21" i="12"/>
  <c r="BB21" i="12" s="1"/>
  <c r="BG21" i="12"/>
  <c r="BO21" i="12"/>
  <c r="BO20" i="12"/>
  <c r="BQ20" i="12" s="1"/>
  <c r="AZ20" i="12"/>
  <c r="BB20" i="12" s="1"/>
  <c r="BG20" i="12"/>
  <c r="AX9" i="12"/>
  <c r="X9" i="12"/>
  <c r="Z9" i="12" s="1"/>
  <c r="V8" i="12"/>
  <c r="Y8" i="12" s="1"/>
  <c r="AX8" i="12"/>
  <c r="X8" i="12"/>
  <c r="Z8" i="12" s="1"/>
  <c r="V9" i="12"/>
  <c r="Y9" i="12" s="1"/>
  <c r="AY9" i="12"/>
  <c r="AW8" i="12"/>
  <c r="AY8" i="12"/>
  <c r="P8" i="12"/>
  <c r="AW9" i="12"/>
  <c r="BQ22" i="12" l="1"/>
  <c r="BQ13" i="12"/>
  <c r="AI20" i="12"/>
  <c r="AE16" i="12"/>
  <c r="AL16" i="12" s="1"/>
  <c r="AB15" i="12"/>
  <c r="AD15" i="12" s="1"/>
  <c r="AM20" i="12"/>
  <c r="AT20" i="12" s="1"/>
  <c r="AR20" i="12"/>
  <c r="AP15" i="12"/>
  <c r="BE20" i="12"/>
  <c r="BL20" i="12" s="1"/>
  <c r="AN15" i="12"/>
  <c r="BI20" i="12"/>
  <c r="AN20" i="12"/>
  <c r="AQ20" i="12" s="1"/>
  <c r="AS20" i="12" s="1"/>
  <c r="BB15" i="12"/>
  <c r="BK12" i="12"/>
  <c r="AC11" i="12"/>
  <c r="AB11" i="12"/>
  <c r="AD11" i="12" s="1"/>
  <c r="AK13" i="12"/>
  <c r="AJ21" i="12"/>
  <c r="BR10" i="12"/>
  <c r="BT10" i="12" s="1"/>
  <c r="BI22" i="12"/>
  <c r="AH15" i="12"/>
  <c r="BO16" i="12"/>
  <c r="BR16" i="12" s="1"/>
  <c r="BI13" i="12"/>
  <c r="AO15" i="12"/>
  <c r="AQ15" i="12" s="1"/>
  <c r="BN17" i="12"/>
  <c r="BQ17" i="12" s="1"/>
  <c r="BQ12" i="12"/>
  <c r="AF10" i="12"/>
  <c r="AN10" i="12"/>
  <c r="BG10" i="12"/>
  <c r="BF10" i="12"/>
  <c r="AO10" i="12"/>
  <c r="AG10" i="12"/>
  <c r="AH10" i="12"/>
  <c r="AM10" i="12"/>
  <c r="BN10" i="12"/>
  <c r="BQ10" i="12" s="1"/>
  <c r="AP10" i="12"/>
  <c r="AE10" i="12"/>
  <c r="BE18" i="12"/>
  <c r="BL18" i="12" s="1"/>
  <c r="AM18" i="12"/>
  <c r="AT18" i="12" s="1"/>
  <c r="AP18" i="12"/>
  <c r="AG18" i="12"/>
  <c r="AI18" i="12" s="1"/>
  <c r="BM18" i="12"/>
  <c r="BT18" i="12" s="1"/>
  <c r="AF17" i="12"/>
  <c r="BF17" i="12"/>
  <c r="AE17" i="12"/>
  <c r="AL17" i="12" s="1"/>
  <c r="AH17" i="12"/>
  <c r="AM17" i="12"/>
  <c r="AT17" i="12" s="1"/>
  <c r="AO17" i="12"/>
  <c r="AP17" i="12"/>
  <c r="AN17" i="12"/>
  <c r="BP17" i="12"/>
  <c r="BR17" i="12" s="1"/>
  <c r="AG17" i="12"/>
  <c r="BM17" i="12"/>
  <c r="BT17" i="12" s="1"/>
  <c r="BG19" i="12"/>
  <c r="BE17" i="12"/>
  <c r="BL17" i="12" s="1"/>
  <c r="AK20" i="12"/>
  <c r="BJ21" i="12"/>
  <c r="BQ21" i="12"/>
  <c r="AK12" i="12"/>
  <c r="AN16" i="12"/>
  <c r="AF16" i="12"/>
  <c r="AH16" i="12"/>
  <c r="AM16" i="12"/>
  <c r="AT16" i="12" s="1"/>
  <c r="BN16" i="12"/>
  <c r="AP16" i="12"/>
  <c r="BF16" i="12"/>
  <c r="BI16" i="12" s="1"/>
  <c r="BK16" i="12" s="1"/>
  <c r="AO16" i="12"/>
  <c r="BM16" i="12"/>
  <c r="BT16" i="12" s="1"/>
  <c r="AG16" i="12"/>
  <c r="BC10" i="12"/>
  <c r="BB10" i="12"/>
  <c r="BB17" i="12"/>
  <c r="BI18" i="12"/>
  <c r="BK18" i="12" s="1"/>
  <c r="BS13" i="12"/>
  <c r="BR12" i="12"/>
  <c r="BT12" i="12" s="1"/>
  <c r="BK22" i="12"/>
  <c r="BK13" i="12"/>
  <c r="AJ22" i="12"/>
  <c r="AK22" i="12" s="1"/>
  <c r="BM11" i="12"/>
  <c r="BE11" i="12"/>
  <c r="AR21" i="12"/>
  <c r="AS21" i="12" s="1"/>
  <c r="BM13" i="12"/>
  <c r="BE13" i="12"/>
  <c r="AS13" i="12"/>
  <c r="BB22" i="12"/>
  <c r="BB19" i="12"/>
  <c r="BB13" i="12"/>
  <c r="BE12" i="12"/>
  <c r="BM12" i="12"/>
  <c r="BJ20" i="12"/>
  <c r="BK20" i="12" s="1"/>
  <c r="BS22" i="12"/>
  <c r="AR12" i="12"/>
  <c r="AT12" i="12" s="1"/>
  <c r="BB12" i="12"/>
  <c r="BR20" i="12"/>
  <c r="BS20" i="12" s="1"/>
  <c r="AG14" i="12"/>
  <c r="AH14" i="12"/>
  <c r="AO14" i="12"/>
  <c r="AP14" i="12"/>
  <c r="AF14" i="12"/>
  <c r="AE14" i="12"/>
  <c r="AL14" i="12" s="1"/>
  <c r="AM14" i="12"/>
  <c r="AT14" i="12" s="1"/>
  <c r="AN14" i="12"/>
  <c r="BM14" i="12"/>
  <c r="BT14" i="12" s="1"/>
  <c r="BO14" i="12"/>
  <c r="AQ18" i="12"/>
  <c r="BN14" i="12"/>
  <c r="BQ18" i="12"/>
  <c r="BS18" i="12" s="1"/>
  <c r="BB11" i="12"/>
  <c r="BE14" i="12"/>
  <c r="BL14" i="12" s="1"/>
  <c r="BI21" i="12"/>
  <c r="BK21" i="12" s="1"/>
  <c r="AK21" i="12"/>
  <c r="AE15" i="12"/>
  <c r="AL15" i="12" s="1"/>
  <c r="AM15" i="12"/>
  <c r="AT15" i="12" s="1"/>
  <c r="BR21" i="12"/>
  <c r="BS21" i="12" s="1"/>
  <c r="BG14" i="12"/>
  <c r="BI17" i="12"/>
  <c r="BJ17" i="12"/>
  <c r="BH14" i="12"/>
  <c r="AR18" i="12"/>
  <c r="BF14" i="12"/>
  <c r="AH19" i="12"/>
  <c r="AO19" i="12"/>
  <c r="AP19" i="12"/>
  <c r="BE19" i="12"/>
  <c r="BL19" i="12" s="1"/>
  <c r="AM19" i="12"/>
  <c r="AT19" i="12" s="1"/>
  <c r="AG19" i="12"/>
  <c r="BF19" i="12"/>
  <c r="BI19" i="12" s="1"/>
  <c r="AN19" i="12"/>
  <c r="BN19" i="12"/>
  <c r="BQ19" i="12" s="1"/>
  <c r="BH19" i="12"/>
  <c r="BJ19" i="12" s="1"/>
  <c r="AF19" i="12"/>
  <c r="AE19" i="12"/>
  <c r="AL19" i="12" s="1"/>
  <c r="BP19" i="12"/>
  <c r="BR19" i="12" s="1"/>
  <c r="BM19" i="12"/>
  <c r="BT19" i="12" s="1"/>
  <c r="BB18" i="12"/>
  <c r="AQ22" i="12"/>
  <c r="AS22" i="12" s="1"/>
  <c r="AR15" i="12"/>
  <c r="AZ8" i="12"/>
  <c r="BA9" i="12"/>
  <c r="BC9" i="12" s="1"/>
  <c r="AZ9" i="12"/>
  <c r="AA9" i="12"/>
  <c r="AC9" i="12" s="1"/>
  <c r="AA8" i="12"/>
  <c r="BA8" i="12"/>
  <c r="BC8" i="12" s="1"/>
  <c r="AF15" i="12" l="1"/>
  <c r="BM15" i="12"/>
  <c r="BT15" i="12" s="1"/>
  <c r="BG15" i="12"/>
  <c r="AG15" i="12"/>
  <c r="AI15" i="12" s="1"/>
  <c r="BP15" i="12"/>
  <c r="BF15" i="12"/>
  <c r="BN15" i="12"/>
  <c r="BH15" i="12"/>
  <c r="BO15" i="12"/>
  <c r="BQ15" i="12" s="1"/>
  <c r="BE15" i="12"/>
  <c r="BL15" i="12" s="1"/>
  <c r="AI17" i="12"/>
  <c r="BQ16" i="12"/>
  <c r="BS16" i="12" s="1"/>
  <c r="BS10" i="12"/>
  <c r="AS15" i="12"/>
  <c r="BI10" i="12"/>
  <c r="AI10" i="12"/>
  <c r="AQ10" i="12"/>
  <c r="BS17" i="12"/>
  <c r="AQ17" i="12"/>
  <c r="AN11" i="12"/>
  <c r="AH11" i="12"/>
  <c r="AF11" i="12"/>
  <c r="BP11" i="12"/>
  <c r="AO11" i="12"/>
  <c r="BG11" i="12"/>
  <c r="AP11" i="12"/>
  <c r="BO11" i="12"/>
  <c r="AG11" i="12"/>
  <c r="BF11" i="12"/>
  <c r="BH11" i="12"/>
  <c r="AE11" i="12"/>
  <c r="AM11" i="12"/>
  <c r="BN11" i="12"/>
  <c r="AR10" i="12"/>
  <c r="AT10" i="12" s="1"/>
  <c r="AJ10" i="12"/>
  <c r="AR17" i="12"/>
  <c r="AS17" i="12" s="1"/>
  <c r="BJ10" i="12"/>
  <c r="BL10" i="12" s="1"/>
  <c r="AI16" i="12"/>
  <c r="AI14" i="12"/>
  <c r="AJ17" i="12"/>
  <c r="AK17" i="12" s="1"/>
  <c r="BB9" i="12"/>
  <c r="BS19" i="12"/>
  <c r="AR16" i="12"/>
  <c r="AJ18" i="12"/>
  <c r="AK18" i="12" s="1"/>
  <c r="BK17" i="12"/>
  <c r="BK19" i="12"/>
  <c r="AS18" i="12"/>
  <c r="AI19" i="12"/>
  <c r="AJ16" i="12"/>
  <c r="AQ14" i="12"/>
  <c r="AQ16" i="12"/>
  <c r="AR19" i="12"/>
  <c r="BQ14" i="12"/>
  <c r="AR14" i="12"/>
  <c r="AS12" i="12"/>
  <c r="AJ19" i="12"/>
  <c r="BI14" i="12"/>
  <c r="AJ14" i="12"/>
  <c r="AQ19" i="12"/>
  <c r="BE10" i="12"/>
  <c r="BM10" i="12"/>
  <c r="BJ14" i="12"/>
  <c r="BS12" i="12"/>
  <c r="BR14" i="12"/>
  <c r="AB9" i="12"/>
  <c r="AD9" i="12" s="1"/>
  <c r="BO9" i="12" s="1"/>
  <c r="BB8" i="12"/>
  <c r="AC8" i="12"/>
  <c r="AB8" i="12"/>
  <c r="AD8" i="12" s="1"/>
  <c r="BM8" i="12" s="1"/>
  <c r="AJ15" i="12" l="1"/>
  <c r="AK15" i="12" s="1"/>
  <c r="AI11" i="12"/>
  <c r="BJ15" i="12"/>
  <c r="BR15" i="12"/>
  <c r="BS15" i="12" s="1"/>
  <c r="BI15" i="12"/>
  <c r="BK15" i="12" s="1"/>
  <c r="AK14" i="12"/>
  <c r="AS10" i="12"/>
  <c r="AR11" i="12"/>
  <c r="AT11" i="12" s="1"/>
  <c r="BR11" i="12"/>
  <c r="BT11" i="12" s="1"/>
  <c r="BQ11" i="12"/>
  <c r="AJ11" i="12"/>
  <c r="AL11" i="12" s="1"/>
  <c r="BI11" i="12"/>
  <c r="BJ11" i="12"/>
  <c r="BL11" i="12" s="1"/>
  <c r="AQ11" i="12"/>
  <c r="AL10" i="12"/>
  <c r="AK10" i="12"/>
  <c r="AK16" i="12"/>
  <c r="BK10" i="12"/>
  <c r="AS14" i="12"/>
  <c r="AS19" i="12"/>
  <c r="AS16" i="12"/>
  <c r="AK19" i="12"/>
  <c r="BG9" i="12"/>
  <c r="AG9" i="12"/>
  <c r="AE9" i="12"/>
  <c r="AM9" i="12"/>
  <c r="BE8" i="12"/>
  <c r="BS14" i="12"/>
  <c r="BK14" i="12"/>
  <c r="BP9" i="12"/>
  <c r="BR9" i="12" s="1"/>
  <c r="AN9" i="12"/>
  <c r="AF9" i="12"/>
  <c r="AP9" i="12"/>
  <c r="BF9" i="12"/>
  <c r="BI9" i="12" s="1"/>
  <c r="BE9" i="12"/>
  <c r="BN9" i="12"/>
  <c r="BQ9" i="12" s="1"/>
  <c r="AO9" i="12"/>
  <c r="BM9" i="12"/>
  <c r="BH9" i="12"/>
  <c r="AH9" i="12"/>
  <c r="AJ9" i="12" s="1"/>
  <c r="AM8" i="12"/>
  <c r="BO8" i="12"/>
  <c r="BH8" i="12"/>
  <c r="BF8" i="12"/>
  <c r="AH8" i="12"/>
  <c r="AN8" i="12"/>
  <c r="AF8" i="12"/>
  <c r="BN8" i="12"/>
  <c r="BQ8" i="12" s="1"/>
  <c r="BG8" i="12"/>
  <c r="AG8" i="12"/>
  <c r="AO8" i="12"/>
  <c r="AP8" i="12"/>
  <c r="AE8" i="12"/>
  <c r="BP8" i="12"/>
  <c r="BR8" i="12" s="1"/>
  <c r="BT8" i="12" s="1"/>
  <c r="AL9" i="12" l="1"/>
  <c r="BT9" i="12"/>
  <c r="AS11" i="12"/>
  <c r="BS11" i="12"/>
  <c r="BK11" i="12"/>
  <c r="AI9" i="12"/>
  <c r="AK9" i="12" s="1"/>
  <c r="AK11" i="12"/>
  <c r="BJ9" i="12"/>
  <c r="BL9" i="12" s="1"/>
  <c r="BS9" i="12"/>
  <c r="AQ9" i="12"/>
  <c r="AR9" i="12"/>
  <c r="AT9" i="12" s="1"/>
  <c r="AR8" i="12"/>
  <c r="AT8" i="12" s="1"/>
  <c r="AI8" i="12"/>
  <c r="AQ8" i="12"/>
  <c r="AJ8" i="12"/>
  <c r="AL8" i="12" s="1"/>
  <c r="BI8" i="12"/>
  <c r="BJ8" i="12"/>
  <c r="BL8" i="12" s="1"/>
  <c r="BS8" i="12"/>
  <c r="BK9" i="12" l="1"/>
  <c r="AS9" i="12"/>
  <c r="AS8" i="12"/>
  <c r="AK8" i="12"/>
  <c r="BK8" i="12"/>
</calcChain>
</file>

<file path=xl/sharedStrings.xml><?xml version="1.0" encoding="utf-8"?>
<sst xmlns="http://schemas.openxmlformats.org/spreadsheetml/2006/main" count="377" uniqueCount="195">
  <si>
    <t>Voc</t>
  </si>
  <si>
    <t>VCB</t>
  </si>
  <si>
    <t>Ibf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</si>
  <si>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</si>
  <si>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</si>
  <si>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</si>
  <si>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</si>
  <si>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</si>
  <si>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</si>
  <si>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</si>
  <si>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</si>
  <si>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</si>
  <si>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</si>
  <si>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VCBB</t>
  </si>
  <si>
    <t>HCB</t>
  </si>
  <si>
    <t>VOA</t>
  </si>
  <si>
    <t>HOA</t>
  </si>
  <si>
    <t>E.C.</t>
  </si>
  <si>
    <t>Type</t>
  </si>
  <si>
    <t>Iarc_600</t>
  </si>
  <si>
    <t>Iarc_2700</t>
  </si>
  <si>
    <t>Iarc_14300</t>
  </si>
  <si>
    <t>Iarc</t>
  </si>
  <si>
    <t>Input parameters</t>
  </si>
  <si>
    <t>Config</t>
  </si>
  <si>
    <t>Iarc_1</t>
  </si>
  <si>
    <t>Iarc_2</t>
  </si>
  <si>
    <t>Iarc_3</t>
  </si>
  <si>
    <t>T</t>
  </si>
  <si>
    <t>(D.1)</t>
  </si>
  <si>
    <t>(D.2)</t>
  </si>
  <si>
    <t>(D.3)</t>
  </si>
  <si>
    <t>(D.4)</t>
  </si>
  <si>
    <t>(D.5)</t>
  </si>
  <si>
    <t>(D.6)</t>
  </si>
  <si>
    <t>(D.7)</t>
  </si>
  <si>
    <t>(D.9)</t>
  </si>
  <si>
    <t>(D.11)</t>
  </si>
  <si>
    <t>(D.13)</t>
  </si>
  <si>
    <t>(D.14)</t>
  </si>
  <si>
    <t>(D.15)</t>
  </si>
  <si>
    <t>(D.16)</t>
  </si>
  <si>
    <t>(D.17)</t>
  </si>
  <si>
    <t>(D.18)</t>
  </si>
  <si>
    <t>(D.19)</t>
  </si>
  <si>
    <t>A</t>
  </si>
  <si>
    <t>B</t>
  </si>
  <si>
    <t>Width</t>
  </si>
  <si>
    <t>Height</t>
  </si>
  <si>
    <t>Width1</t>
  </si>
  <si>
    <t>(D.20)</t>
  </si>
  <si>
    <t>Height1</t>
  </si>
  <si>
    <t>Depth</t>
  </si>
  <si>
    <t>Width11</t>
  </si>
  <si>
    <t>Eq_11</t>
  </si>
  <si>
    <t>Height12</t>
  </si>
  <si>
    <t>Eq_12</t>
  </si>
  <si>
    <t>(D.21)</t>
  </si>
  <si>
    <t>ESS</t>
  </si>
  <si>
    <t>(D.22)</t>
  </si>
  <si>
    <t>CF</t>
  </si>
  <si>
    <t>Box type</t>
  </si>
  <si>
    <t>Typical</t>
  </si>
  <si>
    <t>b1</t>
  </si>
  <si>
    <t>b2</t>
  </si>
  <si>
    <t>b3</t>
  </si>
  <si>
    <t>Shallow</t>
  </si>
  <si>
    <t>Eq_14</t>
  </si>
  <si>
    <t>Eq_15</t>
  </si>
  <si>
    <t>k11</t>
  </si>
  <si>
    <t>k12</t>
  </si>
  <si>
    <t>k13</t>
  </si>
  <si>
    <t>(D.24)</t>
  </si>
  <si>
    <t>E600</t>
  </si>
  <si>
    <t>E2700</t>
  </si>
  <si>
    <t>E14300</t>
  </si>
  <si>
    <t>(D.26)</t>
  </si>
  <si>
    <t>(D.28)</t>
  </si>
  <si>
    <t>E</t>
  </si>
  <si>
    <t>(D.29)</t>
  </si>
  <si>
    <t>(D.30)</t>
  </si>
  <si>
    <t>(D.31)</t>
  </si>
  <si>
    <t>E1</t>
  </si>
  <si>
    <t>E2</t>
  </si>
  <si>
    <t>E3</t>
  </si>
  <si>
    <t>(D.32)</t>
  </si>
  <si>
    <t>(D.34)</t>
  </si>
  <si>
    <t>(D.36)</t>
  </si>
  <si>
    <t>(D.38)</t>
  </si>
  <si>
    <t>AFB600</t>
  </si>
  <si>
    <t>AFB2700</t>
  </si>
  <si>
    <t>AFB14300</t>
  </si>
  <si>
    <t>AFB</t>
  </si>
  <si>
    <t>(D.39)</t>
  </si>
  <si>
    <t>(D.40)</t>
  </si>
  <si>
    <t>(D.41)</t>
  </si>
  <si>
    <t>AFB1</t>
  </si>
  <si>
    <t>AFB2</t>
  </si>
  <si>
    <t>AFB3</t>
  </si>
  <si>
    <t>(D.42)</t>
  </si>
  <si>
    <t>(D.43)</t>
  </si>
  <si>
    <t>VarCf</t>
  </si>
  <si>
    <t>(D.44)</t>
  </si>
  <si>
    <t>1-0,5*VarCf</t>
  </si>
  <si>
    <t>(D.45)</t>
  </si>
  <si>
    <t>(D.46)</t>
  </si>
  <si>
    <t>(D.47)</t>
  </si>
  <si>
    <t>Iarc_600_min</t>
  </si>
  <si>
    <t>Iarc_2700_min</t>
  </si>
  <si>
    <t>Iarc_14300_min</t>
  </si>
  <si>
    <t>(D.48)</t>
  </si>
  <si>
    <t>(D.49)</t>
  </si>
  <si>
    <t>(D.50)</t>
  </si>
  <si>
    <t>(D.51)</t>
  </si>
  <si>
    <t>(D.52)</t>
  </si>
  <si>
    <t>Iarc_min</t>
  </si>
  <si>
    <t>(D.54)</t>
  </si>
  <si>
    <t>(D.56)</t>
  </si>
  <si>
    <t>(D.58)</t>
  </si>
  <si>
    <t>(D.59)</t>
  </si>
  <si>
    <t>(D.60)</t>
  </si>
  <si>
    <t>(D.61)</t>
  </si>
  <si>
    <t>(D.62)</t>
  </si>
  <si>
    <t>(D.64)</t>
  </si>
  <si>
    <t>(D.66)</t>
  </si>
  <si>
    <t>(D.68)</t>
  </si>
  <si>
    <t>(D.69)</t>
  </si>
  <si>
    <t>(D.70)</t>
  </si>
  <si>
    <t>(D.71)</t>
  </si>
  <si>
    <t>(D.72)</t>
  </si>
  <si>
    <t>(D.73)</t>
  </si>
  <si>
    <t>(D.74)</t>
  </si>
  <si>
    <t>(D.75)</t>
  </si>
  <si>
    <t>(D.76)</t>
  </si>
  <si>
    <t>(D.77)</t>
  </si>
  <si>
    <t>(D.78)</t>
  </si>
  <si>
    <t>(D.79)</t>
  </si>
  <si>
    <t>(D.80)</t>
  </si>
  <si>
    <t>(D.82)</t>
  </si>
  <si>
    <t>(D.84)</t>
  </si>
  <si>
    <t>(D.85)</t>
  </si>
  <si>
    <t>(D.86)</t>
  </si>
  <si>
    <t>(D.87)</t>
  </si>
  <si>
    <t>(D.88)</t>
  </si>
  <si>
    <t>(D.89)</t>
  </si>
  <si>
    <t>(D.91)</t>
  </si>
  <si>
    <t>E≤600</t>
  </si>
  <si>
    <t>(D.92)</t>
  </si>
  <si>
    <t>(D.94)</t>
  </si>
  <si>
    <t>AFB≤600</t>
  </si>
  <si>
    <t>(D.95)</t>
  </si>
  <si>
    <t>(D.96)</t>
  </si>
  <si>
    <t>(D.97)</t>
  </si>
  <si>
    <t>(D.99)</t>
  </si>
  <si>
    <t>(D.100)</t>
  </si>
  <si>
    <t>(D.102)</t>
  </si>
  <si>
    <t>(D.103)</t>
  </si>
  <si>
    <t>(D.105)</t>
  </si>
  <si>
    <t>(D.106)</t>
  </si>
  <si>
    <t>Bus Name</t>
  </si>
  <si>
    <t>[kA]</t>
  </si>
  <si>
    <t>[kV]</t>
  </si>
  <si>
    <t>[mm]</t>
  </si>
  <si>
    <t>[ms]</t>
  </si>
  <si>
    <t>[J/cm²]</t>
  </si>
  <si>
    <t>Correction Factor</t>
  </si>
  <si>
    <t>Incident Energy</t>
  </si>
  <si>
    <t>Arc-Flash Boundary</t>
  </si>
  <si>
    <t>Arcing Current</t>
  </si>
  <si>
    <t>Gap</t>
  </si>
  <si>
    <t>WDist</t>
  </si>
  <si>
    <t>Enclosure Size
Correction Factor</t>
  </si>
  <si>
    <t>Intermediate</t>
  </si>
  <si>
    <t>Final</t>
  </si>
  <si>
    <t>Arcing Current (Reduced)</t>
  </si>
  <si>
    <t>Incident Energy (Reduced)</t>
  </si>
  <si>
    <t>Arc-Flash Boundary (Reduced)</t>
  </si>
  <si>
    <t>PN-01A</t>
  </si>
  <si>
    <t>PN-01B</t>
  </si>
  <si>
    <t>PN-02A</t>
  </si>
  <si>
    <t>PN-02B</t>
  </si>
  <si>
    <t>PN-03A</t>
  </si>
  <si>
    <t>PN-03B</t>
  </si>
  <si>
    <t>PN-04A</t>
  </si>
  <si>
    <t>PN-04B</t>
  </si>
  <si>
    <t>PN-04C</t>
  </si>
  <si>
    <t>PN-05</t>
  </si>
  <si>
    <t>PN-06A</t>
  </si>
  <si>
    <t>PN-06B</t>
  </si>
  <si>
    <t>PN-07</t>
  </si>
  <si>
    <t>Annex D.1</t>
  </si>
  <si>
    <t>Annex D.2</t>
  </si>
  <si>
    <t>Annex D.1 eq#</t>
  </si>
  <si>
    <t>Annex D.2 eq#</t>
  </si>
  <si>
    <t>Tarc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</si>
</sst>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\ \V"/>
    <numFmt numFmtId="165" formatCode="0.0000E+00;[Red]0.0000E+00"/>
    <numFmt numFmtId="166" formatCode="0.000"/>
    <numFmt numFmtId="167" formatCode="0\ \V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1" applyNumberFormat="1" applyFont="1"/>
    <xf numFmtId="0" fontId="0" fillId="0" borderId="0" xfId="0" applyNumberFormat="1" applyAlignment="1">
      <alignment horizontal="left"/>
    </xf>
    <xf numFmtId="0" fontId="0" fillId="0" borderId="0" xfId="0" applyNumberFormat="1"/>
    <xf numFmtId="165" fontId="0" fillId="3" borderId="7" xfId="0" applyNumberFormat="1" applyFont="1" applyFill="1" applyBorder="1" applyAlignment="1">
      <alignment horizontal="left"/>
    </xf>
    <xf numFmtId="165" fontId="0" fillId="3" borderId="8" xfId="0" applyNumberFormat="1" applyFont="1" applyFill="1" applyBorder="1" applyAlignment="1">
      <alignment horizontal="left"/>
    </xf>
    <xf numFmtId="165" fontId="0" fillId="3" borderId="9" xfId="0" applyNumberFormat="1" applyFont="1" applyFill="1" applyBorder="1" applyAlignment="1">
      <alignment horizontal="left"/>
    </xf>
    <xf numFmtId="0" fontId="0" fillId="2" borderId="1" xfId="0" applyFont="1" applyFill="1" applyBorder="1" applyAlignment="1">
      <alignment horizontal="right"/>
    </xf>
    <xf numFmtId="165" fontId="0" fillId="3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center"/>
    </xf>
    <xf numFmtId="0" fontId="3" fillId="2" borderId="7" xfId="0" applyNumberFormat="1" applyFont="1" applyFill="1" applyBorder="1" applyAlignment="1">
      <alignment horizontal="center"/>
    </xf>
    <xf numFmtId="0" fontId="1" fillId="2" borderId="2" xfId="1" applyNumberFormat="1" applyFont="1" applyFill="1" applyBorder="1" applyAlignment="1">
      <alignment horizontal="right"/>
    </xf>
    <xf numFmtId="164" fontId="0" fillId="2" borderId="7" xfId="0" applyNumberFormat="1" applyFont="1" applyFill="1" applyBorder="1"/>
    <xf numFmtId="0" fontId="1" fillId="2" borderId="4" xfId="1" applyNumberFormat="1" applyFont="1" applyFill="1" applyBorder="1" applyAlignment="1">
      <alignment horizontal="right"/>
    </xf>
    <xf numFmtId="164" fontId="0" fillId="2" borderId="8" xfId="0" applyNumberFormat="1" applyFont="1" applyFill="1" applyBorder="1"/>
    <xf numFmtId="0" fontId="1" fillId="2" borderId="5" xfId="1" applyNumberFormat="1" applyFont="1" applyFill="1" applyBorder="1" applyAlignment="1">
      <alignment horizontal="right"/>
    </xf>
    <xf numFmtId="164" fontId="0" fillId="2" borderId="9" xfId="0" applyNumberFormat="1" applyFont="1" applyFill="1" applyBorder="1"/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/>
    <xf numFmtId="165" fontId="0" fillId="3" borderId="10" xfId="0" applyNumberFormat="1" applyFont="1" applyFill="1" applyBorder="1" applyAlignment="1">
      <alignment horizontal="left"/>
    </xf>
    <xf numFmtId="0" fontId="0" fillId="2" borderId="4" xfId="0" applyFill="1" applyBorder="1"/>
    <xf numFmtId="165" fontId="0" fillId="3" borderId="11" xfId="0" applyNumberFormat="1" applyFont="1" applyFill="1" applyBorder="1" applyAlignment="1">
      <alignment horizontal="left"/>
    </xf>
    <xf numFmtId="0" fontId="0" fillId="2" borderId="5" xfId="0" applyFill="1" applyBorder="1"/>
    <xf numFmtId="0" fontId="0" fillId="2" borderId="6" xfId="0" applyFill="1" applyBorder="1"/>
    <xf numFmtId="165" fontId="0" fillId="3" borderId="12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167" fontId="3" fillId="2" borderId="1" xfId="0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66" fontId="7" fillId="6" borderId="1" xfId="0" applyNumberFormat="1" applyFont="1" applyFill="1" applyBorder="1" applyAlignment="1">
      <alignment horizontal="center" vertical="center"/>
    </xf>
    <xf numFmtId="166" fontId="5" fillId="6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3" fontId="7" fillId="0" borderId="1" xfId="2" applyNumberFormat="1" applyFont="1" applyBorder="1" applyAlignment="1">
      <alignment horizontal="center" vertical="center"/>
    </xf>
    <xf numFmtId="3" fontId="8" fillId="0" borderId="1" xfId="2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13" borderId="1" xfId="0" applyFont="1" applyFill="1" applyBorder="1" applyAlignment="1">
      <alignment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12" borderId="3" xfId="0" applyFont="1" applyFill="1" applyBorder="1" applyAlignment="1">
      <alignment horizontal="center" vertical="center" wrapText="1"/>
    </xf>
    <xf numFmtId="0" fontId="4" fillId="11" borderId="13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4" fillId="11" borderId="15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wrapText="1"/>
    </xf>
    <xf numFmtId="0" fontId="4" fillId="12" borderId="10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59CFF-A3D6-D943-BCA2-632EF1FC4852}">
  <sheetPr>
    <pageSetUpPr fitToPage="1"/>
  </sheetPr>
  <dimension ref="A1:BT22"/>
  <sheetViews>
    <sheetView tabSelected="1" workbookViewId="0"/>
  </sheetViews>
  <sheetFormatPr baseColWidth="10" defaultRowHeight="14" x14ac:dyDescent="0.2"/>
  <cols>
    <col min="1" max="1" width="13" style="31" bestFit="1" customWidth="1"/>
    <col min="2" max="2" width="6" style="32" bestFit="1" customWidth="1"/>
    <col min="3" max="3" width="4.5" style="32" bestFit="1" customWidth="1"/>
    <col min="4" max="4" width="6.1640625" style="32" bestFit="1" customWidth="1"/>
    <col min="5" max="5" width="4.83203125" style="32" bestFit="1" customWidth="1"/>
    <col min="6" max="6" width="5.33203125" style="32" bestFit="1" customWidth="1"/>
    <col min="7" max="7" width="5.1640625" style="32" bestFit="1" customWidth="1"/>
    <col min="8" max="8" width="5.5" style="32" bestFit="1" customWidth="1"/>
    <col min="9" max="9" width="5.1640625" style="32" bestFit="1" customWidth="1"/>
    <col min="10" max="10" width="9.33203125" style="44" customWidth="1"/>
    <col min="11" max="11" width="9.33203125" style="32" customWidth="1"/>
    <col min="12" max="12" width="9.33203125" style="44" customWidth="1"/>
    <col min="13" max="15" width="6" style="32" bestFit="1" customWidth="1"/>
    <col min="16" max="16" width="5.83203125" style="32" bestFit="1" customWidth="1"/>
    <col min="17" max="17" width="6.83203125" style="32" customWidth="1"/>
    <col min="18" max="18" width="5.83203125" style="32" bestFit="1" customWidth="1"/>
    <col min="19" max="20" width="2.83203125" style="32" customWidth="1"/>
    <col min="21" max="21" width="7.5" style="32" customWidth="1"/>
    <col min="22" max="22" width="6.1640625" style="32" customWidth="1"/>
    <col min="23" max="23" width="7.83203125" style="32" customWidth="1"/>
    <col min="24" max="24" width="6.1640625" style="32" customWidth="1"/>
    <col min="25" max="25" width="6.6640625" style="32" customWidth="1"/>
    <col min="26" max="26" width="7" style="32" customWidth="1"/>
    <col min="27" max="27" width="5.83203125" style="32" customWidth="1"/>
    <col min="28" max="29" width="6" style="32" customWidth="1"/>
    <col min="30" max="30" width="5" style="32" bestFit="1" customWidth="1"/>
    <col min="31" max="38" width="6.83203125" style="32" customWidth="1"/>
    <col min="39" max="42" width="8.83203125" style="32" customWidth="1"/>
    <col min="43" max="46" width="6.83203125" style="32" customWidth="1"/>
    <col min="47" max="48" width="9.83203125" style="32" customWidth="1"/>
    <col min="49" max="49" width="10.83203125" style="32"/>
    <col min="50" max="50" width="11.83203125" style="32" bestFit="1" customWidth="1"/>
    <col min="51" max="51" width="12.6640625" style="32" bestFit="1" customWidth="1"/>
    <col min="52" max="64" width="6.83203125" style="32" customWidth="1"/>
    <col min="65" max="68" width="8.83203125" style="32" customWidth="1"/>
    <col min="69" max="72" width="6.83203125" style="32" customWidth="1"/>
    <col min="73" max="16384" width="10.83203125" style="31"/>
  </cols>
  <sheetData>
    <row r="1" spans="1:72" s="82" customFormat="1" x14ac:dyDescent="0.2">
      <c r="A1" s="82" t="s">
        <v>192</v>
      </c>
      <c r="B1" s="83" t="s">
        <v>29</v>
      </c>
      <c r="C1" s="83" t="s">
        <v>30</v>
      </c>
      <c r="D1" s="83" t="s">
        <v>31</v>
      </c>
      <c r="E1" s="83" t="s">
        <v>32</v>
      </c>
      <c r="F1" s="83" t="s">
        <v>33</v>
      </c>
      <c r="G1" s="83" t="s">
        <v>34</v>
      </c>
      <c r="H1" s="83" t="s">
        <v>35</v>
      </c>
      <c r="I1" s="83"/>
      <c r="J1" s="83" t="s">
        <v>36</v>
      </c>
      <c r="K1" s="83" t="s">
        <v>37</v>
      </c>
      <c r="L1" s="83" t="s">
        <v>38</v>
      </c>
      <c r="M1" s="83" t="s">
        <v>39</v>
      </c>
      <c r="N1" s="83" t="s">
        <v>40</v>
      </c>
      <c r="O1" s="83" t="s">
        <v>41</v>
      </c>
      <c r="P1" s="83" t="s">
        <v>42</v>
      </c>
      <c r="Q1" s="83" t="s">
        <v>43</v>
      </c>
      <c r="R1" s="83"/>
      <c r="S1" s="83"/>
      <c r="T1" s="83"/>
      <c r="U1" s="83"/>
      <c r="V1" s="83"/>
      <c r="W1" s="83"/>
      <c r="X1" s="83"/>
      <c r="Y1" s="83" t="s">
        <v>44</v>
      </c>
      <c r="Z1" s="83" t="s">
        <v>50</v>
      </c>
      <c r="AA1" s="83" t="s">
        <v>57</v>
      </c>
      <c r="AB1" s="83"/>
      <c r="AC1" s="83"/>
      <c r="AD1" s="83" t="s">
        <v>59</v>
      </c>
      <c r="AE1" s="83"/>
      <c r="AF1" s="83" t="s">
        <v>72</v>
      </c>
      <c r="AG1" s="83" t="s">
        <v>76</v>
      </c>
      <c r="AH1" s="83" t="s">
        <v>77</v>
      </c>
      <c r="AI1" s="83" t="s">
        <v>79</v>
      </c>
      <c r="AJ1" s="83" t="s">
        <v>80</v>
      </c>
      <c r="AK1" s="83" t="s">
        <v>81</v>
      </c>
      <c r="AL1" s="83" t="s">
        <v>85</v>
      </c>
      <c r="AM1" s="83"/>
      <c r="AN1" s="83" t="s">
        <v>86</v>
      </c>
      <c r="AO1" s="83" t="s">
        <v>87</v>
      </c>
      <c r="AP1" s="83" t="s">
        <v>88</v>
      </c>
      <c r="AQ1" s="83" t="s">
        <v>93</v>
      </c>
      <c r="AR1" s="83" t="s">
        <v>94</v>
      </c>
      <c r="AS1" s="83" t="s">
        <v>95</v>
      </c>
      <c r="AT1" s="83" t="s">
        <v>99</v>
      </c>
      <c r="AU1" s="83" t="s">
        <v>100</v>
      </c>
      <c r="AV1" s="83" t="s">
        <v>102</v>
      </c>
      <c r="AW1" s="83" t="s">
        <v>104</v>
      </c>
      <c r="AX1" s="83" t="s">
        <v>105</v>
      </c>
      <c r="AY1" s="83" t="s">
        <v>106</v>
      </c>
      <c r="AZ1" s="83" t="s">
        <v>110</v>
      </c>
      <c r="BA1" s="83" t="s">
        <v>111</v>
      </c>
      <c r="BB1" s="83" t="s">
        <v>112</v>
      </c>
      <c r="BC1" s="83" t="s">
        <v>113</v>
      </c>
      <c r="BD1" s="83" t="s">
        <v>114</v>
      </c>
      <c r="BE1" s="84"/>
      <c r="BF1" s="83" t="s">
        <v>116</v>
      </c>
      <c r="BG1" s="83" t="s">
        <v>117</v>
      </c>
      <c r="BH1" s="83" t="s">
        <v>118</v>
      </c>
      <c r="BI1" s="83" t="s">
        <v>119</v>
      </c>
      <c r="BJ1" s="83" t="s">
        <v>120</v>
      </c>
      <c r="BK1" s="83" t="s">
        <v>121</v>
      </c>
      <c r="BL1" s="83" t="s">
        <v>122</v>
      </c>
      <c r="BM1" s="84"/>
      <c r="BN1" s="83" t="s">
        <v>123</v>
      </c>
      <c r="BO1" s="83" t="s">
        <v>124</v>
      </c>
      <c r="BP1" s="83" t="s">
        <v>125</v>
      </c>
      <c r="BQ1" s="83" t="s">
        <v>126</v>
      </c>
      <c r="BR1" s="83" t="s">
        <v>127</v>
      </c>
      <c r="BS1" s="83" t="s">
        <v>128</v>
      </c>
      <c r="BT1" s="83" t="s">
        <v>129</v>
      </c>
    </row>
    <row r="2" spans="1:72" s="82" customFormat="1" x14ac:dyDescent="0.2">
      <c r="A2" s="82" t="s">
        <v>193</v>
      </c>
      <c r="B2" s="83" t="s">
        <v>130</v>
      </c>
      <c r="C2" s="83" t="s">
        <v>131</v>
      </c>
      <c r="D2" s="83" t="s">
        <v>132</v>
      </c>
      <c r="E2" s="83" t="s">
        <v>133</v>
      </c>
      <c r="F2" s="83" t="s">
        <v>134</v>
      </c>
      <c r="G2" s="83" t="s">
        <v>135</v>
      </c>
      <c r="H2" s="83" t="s">
        <v>136</v>
      </c>
      <c r="I2" s="83" t="s">
        <v>137</v>
      </c>
      <c r="J2" s="83" t="s">
        <v>138</v>
      </c>
      <c r="K2" s="83"/>
      <c r="L2" s="85"/>
      <c r="M2" s="83"/>
      <c r="N2" s="83"/>
      <c r="O2" s="83"/>
      <c r="P2" s="83" t="s">
        <v>139</v>
      </c>
      <c r="Q2" s="83" t="s">
        <v>140</v>
      </c>
      <c r="R2" s="83"/>
      <c r="S2" s="83"/>
      <c r="T2" s="83"/>
      <c r="U2" s="83"/>
      <c r="V2" s="83"/>
      <c r="W2" s="83"/>
      <c r="X2" s="83"/>
      <c r="Y2" s="83" t="s">
        <v>141</v>
      </c>
      <c r="Z2" s="83" t="s">
        <v>142</v>
      </c>
      <c r="AA2" s="83" t="s">
        <v>143</v>
      </c>
      <c r="AB2" s="83"/>
      <c r="AC2" s="83"/>
      <c r="AD2" s="83" t="s">
        <v>144</v>
      </c>
      <c r="AE2" s="83" t="s">
        <v>145</v>
      </c>
      <c r="AF2" s="83"/>
      <c r="AG2" s="83"/>
      <c r="AH2" s="83"/>
      <c r="AI2" s="83"/>
      <c r="AJ2" s="83"/>
      <c r="AK2" s="83"/>
      <c r="AL2" s="83" t="s">
        <v>147</v>
      </c>
      <c r="AM2" s="83" t="s">
        <v>148</v>
      </c>
      <c r="AN2" s="83"/>
      <c r="AO2" s="83"/>
      <c r="AP2" s="83"/>
      <c r="AQ2" s="83"/>
      <c r="AR2" s="83"/>
      <c r="AS2" s="83"/>
      <c r="AT2" s="83" t="s">
        <v>150</v>
      </c>
      <c r="AU2" s="83" t="s">
        <v>151</v>
      </c>
      <c r="AV2" s="83" t="s">
        <v>152</v>
      </c>
      <c r="AW2" s="83"/>
      <c r="AX2" s="83"/>
      <c r="AY2" s="83"/>
      <c r="AZ2" s="83"/>
      <c r="BA2" s="83"/>
      <c r="BB2" s="83"/>
      <c r="BC2" s="83" t="s">
        <v>153</v>
      </c>
      <c r="BD2" s="83" t="s">
        <v>154</v>
      </c>
      <c r="BE2" s="83" t="s">
        <v>155</v>
      </c>
      <c r="BF2" s="83"/>
      <c r="BG2" s="83"/>
      <c r="BH2" s="83"/>
      <c r="BI2" s="83"/>
      <c r="BJ2" s="83"/>
      <c r="BK2" s="83"/>
      <c r="BL2" s="83" t="s">
        <v>156</v>
      </c>
      <c r="BM2" s="83" t="s">
        <v>157</v>
      </c>
      <c r="BN2" s="83"/>
      <c r="BO2" s="83"/>
      <c r="BP2" s="83"/>
      <c r="BQ2" s="83"/>
      <c r="BR2" s="83"/>
      <c r="BS2" s="83"/>
      <c r="BT2" s="83" t="s">
        <v>158</v>
      </c>
    </row>
    <row r="4" spans="1:72" ht="16" customHeight="1" x14ac:dyDescent="0.2">
      <c r="A4" s="47" t="s">
        <v>23</v>
      </c>
      <c r="B4" s="48"/>
      <c r="C4" s="48"/>
      <c r="D4" s="48"/>
      <c r="E4" s="48"/>
      <c r="F4" s="48"/>
      <c r="G4" s="48"/>
      <c r="H4" s="48"/>
      <c r="I4" s="49"/>
      <c r="J4" s="65" t="s">
        <v>168</v>
      </c>
      <c r="K4" s="66"/>
      <c r="L4" s="66"/>
      <c r="M4" s="66"/>
      <c r="N4" s="66"/>
      <c r="O4" s="66"/>
      <c r="P4" s="67"/>
      <c r="Q4" s="62" t="s">
        <v>194</v>
      </c>
      <c r="R4" s="77" t="s">
        <v>171</v>
      </c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78"/>
      <c r="AE4" s="70" t="s">
        <v>166</v>
      </c>
      <c r="AF4" s="71"/>
      <c r="AG4" s="71"/>
      <c r="AH4" s="71"/>
      <c r="AI4" s="71"/>
      <c r="AJ4" s="71"/>
      <c r="AK4" s="71"/>
      <c r="AL4" s="72"/>
      <c r="AM4" s="73" t="s">
        <v>167</v>
      </c>
      <c r="AN4" s="74"/>
      <c r="AO4" s="74"/>
      <c r="AP4" s="74"/>
      <c r="AQ4" s="74"/>
      <c r="AR4" s="74"/>
      <c r="AS4" s="74"/>
      <c r="AT4" s="75"/>
      <c r="AU4" s="53" t="s">
        <v>165</v>
      </c>
      <c r="AV4" s="55"/>
      <c r="AW4" s="65" t="s">
        <v>174</v>
      </c>
      <c r="AX4" s="66"/>
      <c r="AY4" s="66"/>
      <c r="AZ4" s="66"/>
      <c r="BA4" s="66"/>
      <c r="BB4" s="66"/>
      <c r="BC4" s="66"/>
      <c r="BD4" s="62" t="s">
        <v>194</v>
      </c>
      <c r="BE4" s="71" t="s">
        <v>175</v>
      </c>
      <c r="BF4" s="71"/>
      <c r="BG4" s="71"/>
      <c r="BH4" s="71"/>
      <c r="BI4" s="71"/>
      <c r="BJ4" s="71"/>
      <c r="BK4" s="71"/>
      <c r="BL4" s="72"/>
      <c r="BM4" s="73" t="s">
        <v>176</v>
      </c>
      <c r="BN4" s="74"/>
      <c r="BO4" s="74"/>
      <c r="BP4" s="74"/>
      <c r="BQ4" s="74"/>
      <c r="BR4" s="74"/>
      <c r="BS4" s="74"/>
      <c r="BT4" s="75"/>
    </row>
    <row r="5" spans="1:72" x14ac:dyDescent="0.2">
      <c r="A5" s="50"/>
      <c r="B5" s="51"/>
      <c r="C5" s="51"/>
      <c r="D5" s="51"/>
      <c r="E5" s="51"/>
      <c r="F5" s="51"/>
      <c r="G5" s="51"/>
      <c r="H5" s="51"/>
      <c r="I5" s="52"/>
      <c r="J5" s="53" t="s">
        <v>172</v>
      </c>
      <c r="K5" s="54"/>
      <c r="L5" s="55"/>
      <c r="M5" s="53" t="s">
        <v>173</v>
      </c>
      <c r="N5" s="54"/>
      <c r="O5" s="54"/>
      <c r="P5" s="55"/>
      <c r="Q5" s="63"/>
      <c r="R5" s="79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1"/>
      <c r="AE5" s="56" t="s">
        <v>172</v>
      </c>
      <c r="AF5" s="57"/>
      <c r="AG5" s="57"/>
      <c r="AH5" s="58"/>
      <c r="AI5" s="56" t="s">
        <v>173</v>
      </c>
      <c r="AJ5" s="57"/>
      <c r="AK5" s="57"/>
      <c r="AL5" s="58"/>
      <c r="AM5" s="59" t="s">
        <v>172</v>
      </c>
      <c r="AN5" s="60"/>
      <c r="AO5" s="60"/>
      <c r="AP5" s="61"/>
      <c r="AQ5" s="59" t="s">
        <v>173</v>
      </c>
      <c r="AR5" s="60"/>
      <c r="AS5" s="60"/>
      <c r="AT5" s="61"/>
      <c r="AU5" s="68"/>
      <c r="AV5" s="69"/>
      <c r="AW5" s="53" t="s">
        <v>172</v>
      </c>
      <c r="AX5" s="54"/>
      <c r="AY5" s="55"/>
      <c r="AZ5" s="53" t="s">
        <v>173</v>
      </c>
      <c r="BA5" s="54"/>
      <c r="BB5" s="54"/>
      <c r="BC5" s="55"/>
      <c r="BD5" s="63"/>
      <c r="BE5" s="56" t="s">
        <v>172</v>
      </c>
      <c r="BF5" s="57"/>
      <c r="BG5" s="57"/>
      <c r="BH5" s="58"/>
      <c r="BI5" s="56" t="s">
        <v>173</v>
      </c>
      <c r="BJ5" s="57"/>
      <c r="BK5" s="57"/>
      <c r="BL5" s="58"/>
      <c r="BM5" s="59" t="s">
        <v>172</v>
      </c>
      <c r="BN5" s="60"/>
      <c r="BO5" s="60"/>
      <c r="BP5" s="61"/>
      <c r="BQ5" s="59" t="s">
        <v>173</v>
      </c>
      <c r="BR5" s="60"/>
      <c r="BS5" s="60"/>
      <c r="BT5" s="61"/>
    </row>
    <row r="6" spans="1:72" x14ac:dyDescent="0.2">
      <c r="A6" s="33" t="s">
        <v>159</v>
      </c>
      <c r="B6" s="33" t="s">
        <v>24</v>
      </c>
      <c r="C6" s="33" t="s">
        <v>0</v>
      </c>
      <c r="D6" s="33" t="s">
        <v>2</v>
      </c>
      <c r="E6" s="33" t="s">
        <v>169</v>
      </c>
      <c r="F6" s="33" t="s">
        <v>170</v>
      </c>
      <c r="G6" s="33" t="s">
        <v>47</v>
      </c>
      <c r="H6" s="33" t="s">
        <v>48</v>
      </c>
      <c r="I6" s="33" t="s">
        <v>52</v>
      </c>
      <c r="J6" s="33" t="s">
        <v>19</v>
      </c>
      <c r="K6" s="33" t="s">
        <v>20</v>
      </c>
      <c r="L6" s="33" t="s">
        <v>21</v>
      </c>
      <c r="M6" s="33" t="s">
        <v>25</v>
      </c>
      <c r="N6" s="33" t="s">
        <v>26</v>
      </c>
      <c r="O6" s="33" t="s">
        <v>27</v>
      </c>
      <c r="P6" s="33" t="s">
        <v>22</v>
      </c>
      <c r="Q6" s="33" t="s">
        <v>28</v>
      </c>
      <c r="R6" s="33" t="s">
        <v>18</v>
      </c>
      <c r="S6" s="33" t="s">
        <v>45</v>
      </c>
      <c r="T6" s="33" t="s">
        <v>46</v>
      </c>
      <c r="U6" s="33" t="s">
        <v>53</v>
      </c>
      <c r="V6" s="33" t="s">
        <v>54</v>
      </c>
      <c r="W6" s="33" t="s">
        <v>55</v>
      </c>
      <c r="X6" s="33" t="s">
        <v>56</v>
      </c>
      <c r="Y6" s="33" t="s">
        <v>49</v>
      </c>
      <c r="Z6" s="33" t="s">
        <v>51</v>
      </c>
      <c r="AA6" s="33" t="s">
        <v>58</v>
      </c>
      <c r="AB6" s="33" t="s">
        <v>67</v>
      </c>
      <c r="AC6" s="33" t="s">
        <v>68</v>
      </c>
      <c r="AD6" s="33" t="s">
        <v>60</v>
      </c>
      <c r="AE6" s="33" t="s">
        <v>146</v>
      </c>
      <c r="AF6" s="34" t="s">
        <v>73</v>
      </c>
      <c r="AG6" s="34" t="s">
        <v>74</v>
      </c>
      <c r="AH6" s="34" t="s">
        <v>75</v>
      </c>
      <c r="AI6" s="34" t="s">
        <v>82</v>
      </c>
      <c r="AJ6" s="34" t="s">
        <v>83</v>
      </c>
      <c r="AK6" s="34" t="s">
        <v>84</v>
      </c>
      <c r="AL6" s="34" t="s">
        <v>78</v>
      </c>
      <c r="AM6" s="34" t="s">
        <v>149</v>
      </c>
      <c r="AN6" s="34" t="s">
        <v>89</v>
      </c>
      <c r="AO6" s="34" t="s">
        <v>90</v>
      </c>
      <c r="AP6" s="34" t="s">
        <v>91</v>
      </c>
      <c r="AQ6" s="34" t="s">
        <v>96</v>
      </c>
      <c r="AR6" s="34" t="s">
        <v>97</v>
      </c>
      <c r="AS6" s="34" t="s">
        <v>98</v>
      </c>
      <c r="AT6" s="34" t="s">
        <v>92</v>
      </c>
      <c r="AU6" s="34" t="s">
        <v>101</v>
      </c>
      <c r="AV6" s="33" t="s">
        <v>103</v>
      </c>
      <c r="AW6" s="34" t="s">
        <v>107</v>
      </c>
      <c r="AX6" s="34" t="s">
        <v>108</v>
      </c>
      <c r="AY6" s="34" t="s">
        <v>109</v>
      </c>
      <c r="AZ6" s="34" t="s">
        <v>25</v>
      </c>
      <c r="BA6" s="34" t="s">
        <v>26</v>
      </c>
      <c r="BB6" s="34" t="s">
        <v>27</v>
      </c>
      <c r="BC6" s="34" t="s">
        <v>115</v>
      </c>
      <c r="BD6" s="34" t="s">
        <v>28</v>
      </c>
      <c r="BE6" s="34" t="s">
        <v>146</v>
      </c>
      <c r="BF6" s="34" t="s">
        <v>73</v>
      </c>
      <c r="BG6" s="34" t="s">
        <v>74</v>
      </c>
      <c r="BH6" s="34" t="s">
        <v>75</v>
      </c>
      <c r="BI6" s="34" t="s">
        <v>82</v>
      </c>
      <c r="BJ6" s="34" t="s">
        <v>83</v>
      </c>
      <c r="BK6" s="34" t="s">
        <v>84</v>
      </c>
      <c r="BL6" s="34" t="s">
        <v>78</v>
      </c>
      <c r="BM6" s="34" t="s">
        <v>149</v>
      </c>
      <c r="BN6" s="34" t="s">
        <v>89</v>
      </c>
      <c r="BO6" s="34" t="s">
        <v>90</v>
      </c>
      <c r="BP6" s="34" t="s">
        <v>91</v>
      </c>
      <c r="BQ6" s="34" t="s">
        <v>96</v>
      </c>
      <c r="BR6" s="34" t="s">
        <v>97</v>
      </c>
      <c r="BS6" s="34" t="s">
        <v>98</v>
      </c>
      <c r="BT6" s="34" t="s">
        <v>92</v>
      </c>
    </row>
    <row r="7" spans="1:72" x14ac:dyDescent="0.2">
      <c r="A7" s="35"/>
      <c r="B7" s="35"/>
      <c r="C7" s="35" t="s">
        <v>161</v>
      </c>
      <c r="D7" s="35" t="s">
        <v>160</v>
      </c>
      <c r="E7" s="35" t="s">
        <v>162</v>
      </c>
      <c r="F7" s="35" t="s">
        <v>162</v>
      </c>
      <c r="G7" s="35" t="s">
        <v>162</v>
      </c>
      <c r="H7" s="35" t="s">
        <v>162</v>
      </c>
      <c r="I7" s="35" t="s">
        <v>162</v>
      </c>
      <c r="J7" s="35" t="s">
        <v>160</v>
      </c>
      <c r="K7" s="35" t="s">
        <v>160</v>
      </c>
      <c r="L7" s="35" t="s">
        <v>160</v>
      </c>
      <c r="M7" s="35" t="s">
        <v>160</v>
      </c>
      <c r="N7" s="35" t="s">
        <v>160</v>
      </c>
      <c r="O7" s="35" t="s">
        <v>160</v>
      </c>
      <c r="P7" s="35" t="s">
        <v>160</v>
      </c>
      <c r="Q7" s="35" t="s">
        <v>163</v>
      </c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 t="s">
        <v>164</v>
      </c>
      <c r="AF7" s="35" t="s">
        <v>164</v>
      </c>
      <c r="AG7" s="35" t="s">
        <v>164</v>
      </c>
      <c r="AH7" s="35" t="s">
        <v>164</v>
      </c>
      <c r="AI7" s="35" t="s">
        <v>164</v>
      </c>
      <c r="AJ7" s="35" t="s">
        <v>164</v>
      </c>
      <c r="AK7" s="35" t="s">
        <v>164</v>
      </c>
      <c r="AL7" s="35" t="s">
        <v>164</v>
      </c>
      <c r="AM7" s="35" t="s">
        <v>162</v>
      </c>
      <c r="AN7" s="35" t="s">
        <v>162</v>
      </c>
      <c r="AO7" s="35" t="s">
        <v>162</v>
      </c>
      <c r="AP7" s="35" t="s">
        <v>162</v>
      </c>
      <c r="AQ7" s="35" t="s">
        <v>162</v>
      </c>
      <c r="AR7" s="35" t="s">
        <v>162</v>
      </c>
      <c r="AS7" s="35" t="s">
        <v>162</v>
      </c>
      <c r="AT7" s="35" t="s">
        <v>162</v>
      </c>
      <c r="AU7" s="35"/>
      <c r="AV7" s="35"/>
      <c r="AW7" s="35" t="s">
        <v>160</v>
      </c>
      <c r="AX7" s="35" t="s">
        <v>160</v>
      </c>
      <c r="AY7" s="35" t="s">
        <v>160</v>
      </c>
      <c r="AZ7" s="35" t="s">
        <v>160</v>
      </c>
      <c r="BA7" s="35" t="s">
        <v>160</v>
      </c>
      <c r="BB7" s="35" t="s">
        <v>160</v>
      </c>
      <c r="BC7" s="35" t="s">
        <v>160</v>
      </c>
      <c r="BD7" s="35" t="s">
        <v>163</v>
      </c>
      <c r="BE7" s="35" t="s">
        <v>164</v>
      </c>
      <c r="BF7" s="35" t="s">
        <v>164</v>
      </c>
      <c r="BG7" s="35" t="s">
        <v>164</v>
      </c>
      <c r="BH7" s="35" t="s">
        <v>164</v>
      </c>
      <c r="BI7" s="35" t="s">
        <v>164</v>
      </c>
      <c r="BJ7" s="35" t="s">
        <v>164</v>
      </c>
      <c r="BK7" s="35" t="s">
        <v>164</v>
      </c>
      <c r="BL7" s="35" t="s">
        <v>164</v>
      </c>
      <c r="BM7" s="35" t="s">
        <v>162</v>
      </c>
      <c r="BN7" s="35" t="s">
        <v>162</v>
      </c>
      <c r="BO7" s="35" t="s">
        <v>162</v>
      </c>
      <c r="BP7" s="35" t="s">
        <v>162</v>
      </c>
      <c r="BQ7" s="35" t="s">
        <v>162</v>
      </c>
      <c r="BR7" s="35" t="s">
        <v>162</v>
      </c>
      <c r="BS7" s="35" t="s">
        <v>162</v>
      </c>
      <c r="BT7" s="35" t="s">
        <v>162</v>
      </c>
    </row>
    <row r="8" spans="1:72" x14ac:dyDescent="0.2">
      <c r="A8" s="46" t="s">
        <v>190</v>
      </c>
      <c r="B8" s="76" t="s">
        <v>1</v>
      </c>
      <c r="C8" s="41">
        <v>4.16</v>
      </c>
      <c r="D8" s="41">
        <v>15</v>
      </c>
      <c r="E8" s="41">
        <v>104</v>
      </c>
      <c r="F8" s="41">
        <v>914.4</v>
      </c>
      <c r="G8" s="41">
        <v>762</v>
      </c>
      <c r="H8" s="41">
        <v>1143</v>
      </c>
      <c r="I8" s="41">
        <v>254</v>
      </c>
      <c r="J8" s="39">
        <f>10^(SUMIFS(Table1!$C:$C,Table1!$B:$B,600,Table1!$A:$A,$B8)+SUMIFS(Table1!$D:$D,Table1!$B:$B,600,Table1!$A:$A,$B8)*LOG10($D8)+SUMIFS(Table1!$E:$E,Table1!$B:$B,600,Table1!$A:$A,$B8)*LOG10($E8))*(SUMIFS(Table1!$F:$F,Table1!$B:$B,600,Table1!$A:$A,$B8)*$D8^6+SUMIFS(Table1!$G:$G,Table1!$B:$B,600,Table1!$A:$A,$B8)*$D8^5+SUMIFS(Table1!$H:$H,Table1!$B:$B,600,Table1!$A:$A,$B8)*$D8^4+SUMIFS(Table1!$I:$I,Table1!$B:$B,600,Table1!$A:$A,$B8)*$D8^3+SUMIFS(Table1!$J:$J,Table1!$B:$B,600,Table1!$A:$A,$B8)*$D8^2+SUMIFS(Table1!$K:$K,Table1!$B:$B,600,Table1!$A:$A,$B8)*$D8+SUMIFS(Table1!$L:$L,Table1!$B:$B,600,Table1!$A:$A,$B8))</f>
        <v>11.116701487164088</v>
      </c>
      <c r="K8" s="39">
        <f>10^(SUMIFS(Table1!$C:$C,Table1!$B:$B,2700,Table1!$A:$A,$B8)+SUMIFS(Table1!$D:$D,Table1!$B:$B,2700,Table1!$A:$A,$B8)*LOG10($D8)+SUMIFS(Table1!$E:$E,Table1!$B:$B,2700,Table1!$A:$A,$B8)*LOG10($E8))*(SUMIFS(Table1!$F:$F,Table1!$B:$B,2700,Table1!$A:$A,$B8)*$D8^6+SUMIFS(Table1!$G:$G,Table1!$B:$B,2700,Table1!$A:$A,$B8)*$D8^5+SUMIFS(Table1!$H:$H,Table1!$B:$B,2700,Table1!$A:$A,$B8)*$D8^4+SUMIFS(Table1!$I:$I,Table1!$B:$B,2700,Table1!$A:$A,$B8)*$D8^3+SUMIFS(Table1!$J:$J,Table1!$B:$B,2700,Table1!$A:$A,$B8)*$D8^2+SUMIFS(Table1!$K:$K,Table1!$B:$B,2700,Table1!$A:$A,$B8)*$D8+SUMIFS(Table1!$L:$L,Table1!$B:$B,2700,Table1!$A:$A,$B8))</f>
        <v>12.815760907648627</v>
      </c>
      <c r="L8" s="39">
        <f>10^(SUMIFS(Table1!$C:$C,Table1!$B:$B,14300,Table1!$A:$A,$B8)+SUMIFS(Table1!$D:$D,Table1!$B:$B,14300,Table1!$A:$A,$B8)*LOG10($D8)+SUMIFS(Table1!$E:$E,Table1!$B:$B,14300,Table1!$A:$A,$B8)*LOG10($E8))*(SUMIFS(Table1!$F:$F,Table1!$B:$B,14300,Table1!$A:$A,$B8)*$D8^6+SUMIFS(Table1!$G:$G,Table1!$B:$B,14300,Table1!$A:$A,$B8)*$D8^5+SUMIFS(Table1!$H:$H,Table1!$B:$B,14300,Table1!$A:$A,$B8)*$D8^4+SUMIFS(Table1!$I:$I,Table1!$B:$B,14300,Table1!$A:$A,$B8)*$D8^3+SUMIFS(Table1!$J:$J,Table1!$B:$B,14300,Table1!$A:$A,$B8)*$D8^2+SUMIFS(Table1!$K:$K,Table1!$B:$B,14300,Table1!$A:$A,$B8)*$D8+SUMIFS(Table1!$L:$L,Table1!$B:$B,14300,Table1!$A:$A,$B8))</f>
        <v>14.116469937683771</v>
      </c>
      <c r="M8" s="39">
        <f t="shared" ref="M8:M22" si="0">((K8-J8)/2.1)*($C8-2.7)+K8</f>
        <v>13.997011742842641</v>
      </c>
      <c r="N8" s="39">
        <f t="shared" ref="N8:N22" si="1">((L8-K8)/11.6)*($C8-14.3)+L8</f>
        <v>12.979470837290982</v>
      </c>
      <c r="O8" s="39">
        <f t="shared" ref="O8:O22" si="2">(M8*(2.7-$C8)/2.1)+(N8*($C8-0.6)/2.1)</f>
        <v>12.272037636288401</v>
      </c>
      <c r="P8" s="40">
        <f>IF(AND($C8&gt;=0.208,$C8&lt;=0.6),1/SQRT((0.6/$C8)^2*(1/(J8)^2-(0.6^2-($C8)^2)/(0.6^2*($D8)^2))),IF(AND($C8&gt;0.6,$C8&lt;=2.7),O8,IF($C8&gt;2.7,N8,"Errado")))</f>
        <v>12.979470837290982</v>
      </c>
      <c r="Q8" s="41">
        <v>197</v>
      </c>
      <c r="R8" s="45" t="str">
        <f t="shared" ref="R8:R22" si="3">IF(AND($C8&lt;0.6,$G8&lt;508,$H8&lt;508,$I8&lt;=203.2),"Shallow","Typical")</f>
        <v>Typical</v>
      </c>
      <c r="S8" s="36">
        <f t="shared" ref="S8:S22" si="4">IF($B8="VCB",4,IF($B8="VCBB",10,IF($B8="HCB",10,0)))</f>
        <v>4</v>
      </c>
      <c r="T8" s="36">
        <f t="shared" ref="T8:T22" si="5">IF($B8="VCB",20,IF($B8="VCBB",24,IF($B8="HCB",22,0)))</f>
        <v>20</v>
      </c>
      <c r="U8" s="36">
        <f t="shared" ref="U8:U22" si="6">IF($G8&lt;=1244.6,$G8,1244.6)</f>
        <v>762</v>
      </c>
      <c r="V8" s="36">
        <f>(660.4+($U8-660.4)*($C8+$S8)/$T8)*(1/25.4)</f>
        <v>27.632000000000001</v>
      </c>
      <c r="W8" s="36">
        <f t="shared" ref="W8:W22" si="7">IF($H8&lt;=1244.6,$H8,1244.6)</f>
        <v>1143</v>
      </c>
      <c r="X8" s="36">
        <f>(660.4+($W8-660.4)*($C8+$S8)/$T8)*(1/25.4)</f>
        <v>33.751999999999995</v>
      </c>
      <c r="Y8" s="37">
        <f>IF($G8&lt;508,IF($R8="Typical",20,0.03937*$G8),IF($G8&lt;=660.4,0.03937*$G8,IF($G8&lt;=1244.6,$V8,$V8)))</f>
        <v>27.632000000000001</v>
      </c>
      <c r="Z8" s="37">
        <f>IF($H8&lt;508,IF($R8="Typical",20,0.03937*$H8),IF($H8&lt;=660.4,0.03937*$H8,IF($H8&lt;=1244.6,IF($B8="VCB",0.03937*$H8,$X8),IF($B8="VCB",49,$X8))))</f>
        <v>44.99991</v>
      </c>
      <c r="AA8" s="39">
        <f>(Z8+Y8)/2</f>
        <v>36.315955000000002</v>
      </c>
      <c r="AB8" s="38">
        <f>SUMIFS(Table7!C:C,Table7!A:A,"Typical",Table7!B:B,$B8)*$AA8^2+SUMIFS(Table7!D:D,Table7!A:A,"Typical",Table7!B:B,$B8)*$AA8+SUMIFS(Table7!E:E,Table7!A:A,"Typical",Table7!B:B,$B8)</f>
        <v>1.2838397381062685</v>
      </c>
      <c r="AC8" s="38">
        <f>1/(SUMIFS(Table7!C:C,Table7!A:A,"Shallow",Table7!B:B,$B8)*$AA8^2+SUMIFS(Table7!D:D,Table7!A:A,"Shallow",Table7!B:B,$B8)*$AA8+SUMIFS(Table7!E:E,Table7!A:A,"Shallow",Table7!B:B,$B8))</f>
        <v>0.38103283305753516</v>
      </c>
      <c r="AD8" s="39">
        <f>IF(R8="Typical",AB8,AC8)</f>
        <v>1.2838397381062685</v>
      </c>
      <c r="AE8" s="39">
        <f>(12.552/50)*Q8*10^(SUMIFS(Table3!$B:$B,Table3!$A:$A,$B8)+SUMIFS(Table3!$C:$C,Table3!$A:$A,$B8)*LOG10($E8)+SUMIFS(Table3!$D:$D,Table3!$A:$A,$B8)*$J8/(SUMIFS(Table3!$E:$E,Table3!$A:$A,$B8)*$D8^7+SUMIFS(Table3!$F:$F,Table3!$A:$A,$B8)*$D8^6+SUMIFS(Table3!$G:$G,Table3!$A:$A,$B8)*$D8^5+SUMIFS(Table3!$H:$H,Table3!$A:$A,$B8)*$D8^4+SUMIFS(Table3!$I:$I,Table3!$A:$A,$B8)*$D8^3+SUMIFS(Table3!$J:$J,Table3!$A:$A,$B8)*$D8^2+SUMIFS(Table3!$K:$K,Table3!$A:$A,$B8)*$D8)+SUMIFS(Table3!$L:$L,Table3!$A:$A,$B8)*LOG10($D8)+SUMIFS(Table3!$M:$M,Table3!$A:$A,$B8)*LOG10($F8)+SUMIFS(Table3!$N:$N,Table3!$A:$A,$B8)*LOG10(P8)+LOG10(1/$AD8))</f>
        <v>10.03514580944513</v>
      </c>
      <c r="AF8" s="39">
        <f>(12.552/50)*Q8*10^(SUMIFS(Table3!$B:$B,Table3!$A:$A,$B8)+SUMIFS(Table3!$C:$C,Table3!$A:$A,$B8)*LOG10($E8)+SUMIFS(Table3!$D:$D,Table3!$A:$A,$B8)*J8/(SUMIFS(Table3!$E:$E,Table3!$A:$A,$B8)*$D8^7+SUMIFS(Table3!$F:$F,Table3!$A:$A,$B8)*$D8^6+SUMIFS(Table3!$G:$G,Table3!$A:$A,$B8)*$D8^5+SUMIFS(Table3!$H:$H,Table3!$A:$A,$B8)*$D8^4+SUMIFS(Table3!$I:$I,Table3!$A:$A,$B8)*$D8^3+SUMIFS(Table3!$J:$J,Table3!$A:$A,$B8)*$D8^2+SUMIFS(Table3!$K:$K,Table3!$A:$A,$B8)*$D8)+SUMIFS(Table3!$L:$L,Table3!$A:$A,$B8)*LOG10($D8)+SUMIFS(Table3!$M:$M,Table3!$A:$A,$B8)*LOG10($F8)+SUMIFS(Table3!$N:$N,Table3!$A:$A,$B8)*LOG10(J8)+LOG10(1/$AD8))</f>
        <v>8.6523828704134242</v>
      </c>
      <c r="AG8" s="39">
        <f>(12.552/50)*Q8*10^(SUMIFS(Table4!$B:$B,Table4!$A:$A,$B8)+SUMIFS(Table4!$C:$C,Table4!$A:$A,$B8)*LOG10($E8)+SUMIFS(Table4!$D:$D,Table4!$A:$A,$B8)*K8/(SUMIFS(Table4!$E:$E,Table4!$A:$A,$B8)*$D8^7+SUMIFS(Table4!$F:$F,Table4!$A:$A,$B8)*$D8^6+SUMIFS(Table4!$G:$G,Table4!$A:$A,$B8)*$D8^5+SUMIFS(Table4!$H:$H,Table4!$A:$A,$B8)*$D8^4+SUMIFS(Table4!$I:$I,Table4!$A:$A,$B8)*$D8^3+SUMIFS(Table4!$J:$J,Table4!$A:$A,$B8)*$D8^2+SUMIFS(Table4!$K:$K,Table4!$A:$A,$B8)*$D8)+SUMIFS(Table4!$L:$L,Table4!$A:$A,$B8)*LOG10($D8)+SUMIFS(Table4!$M:$M,Table4!$A:$A,$B8)*LOG10($F8)+SUMIFS(Table4!$N:$N,Table4!$A:$A,$B8)*LOG10(K8)+LOG10(1/$AD8))</f>
        <v>11.976780932144367</v>
      </c>
      <c r="AH8" s="39">
        <f>(12.552/50)*Q8*10^(SUMIFS(Table5!$B:$B,Table5!$A:$A,$B8)+SUMIFS(Table5!$C:$C,Table5!$A:$A,$B8)*LOG10($E8)+SUMIFS(Table5!$D:$D,Table5!$A:$A,$B8)*L8/(SUMIFS(Table5!$E:$E,Table5!$A:$A,$B8)*$D8^7+SUMIFS(Table5!$F:$F,Table5!$A:$A,$B8)*$D8^6+SUMIFS(Table5!$G:$G,Table5!$A:$A,$B8)*$D8^5+SUMIFS(Table5!$H:$H,Table5!$A:$A,$B8)*$D8^4+SUMIFS(Table5!$I:$I,Table5!$A:$A,$B8)*$D8^3+SUMIFS(Table5!$J:$J,Table5!$A:$A,$B8)*$D8^2+SUMIFS(Table5!$K:$K,Table5!$A:$A,$B8)*$D8)+SUMIFS(Table5!$L:$L,Table5!$A:$A,$B8)*LOG10($D8)+SUMIFS(Table5!$M:$M,Table5!$A:$A,$B8)*LOG10($F8)+SUMIFS(Table5!$N:$N,Table5!$A:$A,$B8)*LOG10(L8)+LOG10(1/$AD8))</f>
        <v>13.36681425083842</v>
      </c>
      <c r="AI8" s="39">
        <f t="shared" ref="AI8:AI9" si="8">((AG8-AF8)/2.1)*($C8-2.7)+AG8</f>
        <v>14.288029108395403</v>
      </c>
      <c r="AJ8" s="39">
        <f t="shared" ref="AJ8:AJ9" si="9">((AH8-AG8)/11.6)*($C8-14.3)+AH8</f>
        <v>12.151733401566204</v>
      </c>
      <c r="AK8" s="39">
        <f t="shared" ref="AK8:AK9" si="10">AI8*(2.7-$C8)/2.1+AJ8*($C8-0.6)/2.1</f>
        <v>10.666499243484953</v>
      </c>
      <c r="AL8" s="40">
        <f t="shared" ref="AL8:AL9" si="11">IF(AND($C8&gt;=0.208,$C8&lt;=0.6),AE8,IF($C8&lt;=2.7,AK8,AJ8))</f>
        <v>12.151733401566204</v>
      </c>
      <c r="AM8" s="42">
        <f>10^((SUMIFS(Table3!$B:$B,Table3!$A:$A,$B8)+SUMIFS(Table3!$C:$C,Table3!$A:$A,$B8)*LOG10($E8)+(SUMIFS(Table3!$D:$D,Table3!$A:$A,$B8)*$J8)/(SUMIFS(Table3!$E:$E,Table3!$A:$A,$B8)*$D8^7+SUMIFS(Table3!$F:$F,Table3!$A:$A,$B8)*$D8^6+SUMIFS(Table3!$G:$G,Table3!$A:$A,$B8)*$D8^5+SUMIFS(Table3!$H:$H,Table3!$A:$A,$B8)*$D8^4+SUMIFS(Table3!$I:$I,Table3!$A:$A,$B8)*$D8^3+SUMIFS(Table3!$J:$J,Table3!$A:$A,$B8)*$D8^2+SUMIFS(Table3!$K:$K,Table3!$A:$A,$B8)*$D8)+SUMIFS(Table3!$L:$L,Table3!$A:$A,$B8)*LOG10($D8)+SUMIFS(Table3!$N:$N,Table3!$A:$A,$B8)*LOG10(P8)+LOG10(1/$AD8)-LOG10(20/Q8))/-SUMIFS(Table3!$M:$M,Table3!$A:$A,$B8))</f>
        <v>1410.3948102562342</v>
      </c>
      <c r="AN8" s="42">
        <f>10^((SUMIFS(Table3!$B:$B,Table3!$A:$A,$B8)+SUMIFS(Table3!$C:$C,Table3!$A:$A,$B8)*LOG10($E8)+(SUMIFS(Table3!$D:$D,Table3!$A:$A,$B8)*J8)/(SUMIFS(Table3!$E:$E,Table3!$A:$A,$B8)*$D8^7+SUMIFS(Table3!$F:$F,Table3!$A:$A,$B8)*$D8^6+SUMIFS(Table3!$G:$G,Table3!$A:$A,$B8)*$D8^5+SUMIFS(Table3!$H:$H,Table3!$A:$A,$B8)*$D8^4+SUMIFS(Table3!$I:$I,Table3!$A:$A,$B8)*$D8^3+SUMIFS(Table3!$J:$J,Table3!$A:$A,$B8)*$D8^2+SUMIFS(Table3!$K:$K,Table3!$A:$A,$B8)*$D8)+SUMIFS(Table3!$L:$L,Table3!$A:$A,$B8)*LOG10($D8)+SUMIFS(Table3!$N:$N,Table3!$A:$A,$B8)*LOG10(J8)+LOG10(1/$AD8)-LOG10(20/Q8))/-SUMIFS(Table3!$M:$M,Table3!$A:$A,$B8))</f>
        <v>1285.4283123402117</v>
      </c>
      <c r="AO8" s="42">
        <f>10^((SUMIFS(Table4!$B:$B,Table4!$A:$A,$B8)+SUMIFS(Table4!$C:$C,Table4!$A:$A,$B8)*LOG10($E8)+(SUMIFS(Table4!$D:$D,Table4!$A:$A,$B8)*K8)/(SUMIFS(Table4!$E:$E,Table4!$A:$A,$B8)*$D8^7+SUMIFS(Table4!$F:$F,Table4!$A:$A,$B8)*$D8^6+SUMIFS(Table4!$G:$G,Table4!$A:$A,$B8)*$D8^5+SUMIFS(Table4!$H:$H,Table4!$A:$A,$B8)*$D8^4+SUMIFS(Table4!$I:$I,Table4!$A:$A,$B8)*$D8^3+SUMIFS(Table4!$J:$J,Table4!$A:$A,$B8)*$D8^2+SUMIFS(Table4!$K:$K,Table4!$A:$A,$B8)*$D8)+SUMIFS(Table4!$L:$L,Table4!$A:$A,$B8)*LOG10($D8)+SUMIFS(Table4!$N:$N,Table4!$A:$A,$B8)*LOG10(K8)+LOG10(1/$AD8)-LOG10(20/Q8))/-SUMIFS(Table4!$M:$M,Table4!$A:$A,$B8))</f>
        <v>1591.3955698908833</v>
      </c>
      <c r="AP8" s="42">
        <f>10^((SUMIFS(Table5!$B:$B,Table5!$A:$A,$B8)+SUMIFS(Table5!$C:$C,Table5!$A:$A,$B8)*LOG10($E8)+(SUMIFS(Table5!$D:$D,Table5!$A:$A,$B8)*L8)/(SUMIFS(Table5!$E:$E,Table5!$A:$A,$B8)*$D8^7+SUMIFS(Table5!$F:$F,Table5!$A:$A,$B8)*$D8^6+SUMIFS(Table5!$G:$G,Table5!$A:$A,$B8)*$D8^5+SUMIFS(Table5!$H:$H,Table5!$A:$A,$B8)*$D8^4+SUMIFS(Table5!$I:$I,Table5!$A:$A,$B8)*$D8^3+SUMIFS(Table5!$J:$J,Table5!$A:$A,$B8)*$D8^2+SUMIFS(Table5!$K:$K,Table5!$A:$A,$B8)*$D8)+SUMIFS(Table5!$L:$L,Table5!$A:$A,$B8)*LOG10($D8)+SUMIFS(Table5!$N:$N,Table5!$A:$A,$B8)*LOG10(L8)+LOG10(1/$AD8)-LOG10(20/Q8))/-SUMIFS(Table5!$M:$M,Table5!$A:$A,$B8))</f>
        <v>1707.4372725468352</v>
      </c>
      <c r="AQ8" s="42">
        <f t="shared" ref="AQ8:AQ9" si="12">((AO8-AN8)/2.1)*($C8-2.7)+AO8</f>
        <v>1804.1156632356358</v>
      </c>
      <c r="AR8" s="42">
        <f t="shared" ref="AR8:AR9" si="13">((AP8-AO8)/11.6)*($C8-14.3)+AP8</f>
        <v>1606.0008186734426</v>
      </c>
      <c r="AS8" s="42">
        <f t="shared" ref="AS8:AS9" si="14">(AQ8*(2.7-$C8)/2.1)+(AR8*($C8-0.6)/2.1)</f>
        <v>1468.2638315016322</v>
      </c>
      <c r="AT8" s="43">
        <f t="shared" ref="AT8:AT9" si="15">IF(AND($C8&gt;=0.208,$C8&lt;=0.6),AM8,IF($C8&lt;=2.7,AS8,AR8))</f>
        <v>1606.0008186734426</v>
      </c>
      <c r="AU8" s="39">
        <f>SUMIFS(Table2!$B:$B,Table2!$A:$A,$B8)*$C8^6+SUMIFS(Table2!$C:$C,Table2!$A:$A,$B8)*$C8^5+SUMIFS(Table2!$D:$D,Table2!$A:$A,$B8)*$C8^4+SUMIFS(Table2!$E:$E,Table2!$A:$A,$B8)*$C8^3+SUMIFS(Table2!$F:$F,Table2!$A:$A,$B8)*$C8^2+SUMIFS(Table2!$G:$G,Table2!$A:$A,$B8)*$C8+SUMIFS(Table2!$H:$H,Table2!$A:$A,$B8)</f>
        <v>4.6871996620027279E-2</v>
      </c>
      <c r="AV8" s="39">
        <f t="shared" ref="AV8:AV9" si="16">1-0.5*AU8</f>
        <v>0.97656400168998636</v>
      </c>
      <c r="AW8" s="39">
        <f>J8*$AV8</f>
        <v>10.856170489897984</v>
      </c>
      <c r="AX8" s="39">
        <f>K8*$AV8</f>
        <v>12.515410756675434</v>
      </c>
      <c r="AY8" s="39">
        <f>L8*$AV8</f>
        <v>13.785636372080855</v>
      </c>
      <c r="AZ8" s="39">
        <f t="shared" ref="AZ8:AZ9" si="17">((AX8-AW8)/2.1)*($C8-2.7)+AX8</f>
        <v>13.668977799292138</v>
      </c>
      <c r="BA8" s="39">
        <f t="shared" ref="BA8:BA9" si="18">((AY8-AX8)/11.6)*($C8-14.3)+AY8</f>
        <v>12.675283980683357</v>
      </c>
      <c r="BB8" s="39">
        <f t="shared" ref="BB8:BB9" si="19">(AZ8*(2.7-$C8)/2.1)+(BA8*($C8-0.6)/2.1)</f>
        <v>11.984430182983919</v>
      </c>
      <c r="BC8" s="40">
        <f>IF(AND($C8&gt;=0.208,$C8&lt;=0.6),1/SQRT((0.6/$C8)^2*(1/(J8)^2-(0.6^2-($C8)^2)/(0.6^2*($D8)^2)))*AV8,IF(AND($C8&gt;0.6,$C8&lt;=2.7),BB8,IF($C8&gt;2.7,BA8,"Erro")))</f>
        <v>12.675283980683357</v>
      </c>
      <c r="BD8" s="41">
        <v>223</v>
      </c>
      <c r="BE8" s="39">
        <f>(12.552/50)*BD8*10^(SUMIFS(Table3!$B:$B,Table3!$A:$A,$B8)+SUMIFS(Table3!$C:$C,Table3!$A:$A,$B8)*LOG10($E8)+SUMIFS(Table3!$D:$D,Table3!$A:$A,$B8)*$J8/(SUMIFS(Table3!$E:$E,Table3!$A:$A,$B8)*$D8^7+SUMIFS(Table3!$F:$F,Table3!$A:$A,$B8)*$D8^6+SUMIFS(Table3!$G:$G,Table3!$A:$A,$B8)*$D8^5+SUMIFS(Table3!$H:$H,Table3!$A:$A,$B8)*$D8^4+SUMIFS(Table3!$I:$I,Table3!$A:$A,$B8)*$D8^3+SUMIFS(Table3!$J:$J,Table3!$A:$A,$B8)*$D8^2+SUMIFS(Table3!$K:$K,Table3!$A:$A,$B8)*$D8)+SUMIFS(Table3!$L:$L,Table3!$A:$A,$B8)*LOG10($D8)+SUMIFS(Table3!$M:$M,Table3!$A:$A,$B8)*LOG10($F8)+SUMIFS(Table3!$N:$N,Table3!$A:$A,$B8)*LOG10(BC8)+LOG10(1/$AD8))</f>
        <v>11.104676329968402</v>
      </c>
      <c r="BF8" s="39">
        <f>(12.552/50)*BD8*10^(SUMIFS(Table3!$B:$B,Table3!$A:$A,$B8)+SUMIFS(Table3!$C:$C,Table3!$A:$A,$B8)*LOG10($E8)+SUMIFS(Table3!$D:$D,Table3!$A:$A,$B8)*AW8/(SUMIFS(Table3!$E:$E,Table3!$A:$A,$B8)*$D8^7+SUMIFS(Table3!$F:$F,Table3!$A:$A,$B8)*$D8^6+SUMIFS(Table3!$G:$G,Table3!$A:$A,$B8)*$D8^5+SUMIFS(Table3!$H:$H,Table3!$A:$A,$B8)*$D8^4+SUMIFS(Table3!$I:$I,Table3!$A:$A,$B8)*$D8^3+SUMIFS(Table3!$J:$J,Table3!$A:$A,$B8)*$D8^2+SUMIFS(Table3!$K:$K,Table3!$A:$A,$B8)*$D8)+SUMIFS(Table3!$L:$L,Table3!$A:$A,$B8)*LOG10($D8)+SUMIFS(Table3!$M:$M,Table3!$A:$A,$B8)*LOG10($F8)+SUMIFS(Table3!$N:$N,Table3!$A:$A,$B8)*LOG10(AW8)+LOG10(1/$AD8))</f>
        <v>8.9803176931531645</v>
      </c>
      <c r="BG8" s="39">
        <f>(12.552/50)*BD8*10^(SUMIFS(Table4!$B:$B,Table4!$A:$A,$B8)+SUMIFS(Table4!$C:$C,Table4!$A:$A,$B8)*LOG10($E8)+SUMIFS(Table4!$D:$D,Table4!$A:$A,$B8)*AX8/(SUMIFS(Table4!$E:$E,Table4!$A:$A,$B8)*$D8^7+SUMIFS(Table4!$F:$F,Table4!$A:$A,$B8)*$D8^6+SUMIFS(Table4!$G:$G,Table4!$A:$A,$B8)*$D8^5+SUMIFS(Table4!$H:$H,Table4!$A:$A,$B8)*$D8^4+SUMIFS(Table4!$I:$I,Table4!$A:$A,$B8)*$D8^3+SUMIFS(Table4!$J:$J,Table4!$A:$A,$B8)*$D8^2+SUMIFS(Table4!$K:$K,Table4!$A:$A,$B8)*$D8)+SUMIFS(Table4!$L:$L,Table4!$A:$A,$B8)*LOG10($D8)+SUMIFS(Table4!$M:$M,Table4!$A:$A,$B8)*LOG10($F8)+SUMIFS(Table4!$N:$N,Table4!$A:$A,$B8)*LOG10(AX8)+LOG10(1/$AD8))</f>
        <v>13.018177461690764</v>
      </c>
      <c r="BH8" s="39">
        <f>(12.552/50)*BD8*10^(SUMIFS(Table5!$B:$B,Table5!$A:$A,$B8)+SUMIFS(Table5!$C:$C,Table5!$A:$A,$B8)*LOG10($E8)+SUMIFS(Table5!$D:$D,Table5!$A:$A,$B8)*AY8/(SUMIFS(Table5!$E:$E,Table5!$A:$A,$B8)*$D8^7+SUMIFS(Table5!$F:$F,Table5!$A:$A,$B8)*$D8^6+SUMIFS(Table5!$G:$G,Table5!$A:$A,$B8)*$D8^5+SUMIFS(Table5!$H:$H,Table5!$A:$A,$B8)*$D8^4+SUMIFS(Table5!$I:$I,Table5!$A:$A,$B8)*$D8^3+SUMIFS(Table5!$J:$J,Table5!$A:$A,$B8)*$D8^2+SUMIFS(Table5!$K:$K,Table5!$A:$A,$B8)*$D8)+SUMIFS(Table5!$L:$L,Table5!$A:$A,$B8)*LOG10($D8)+SUMIFS(Table5!$M:$M,Table5!$A:$A,$B8)*LOG10($F8)+SUMIFS(Table5!$N:$N,Table5!$A:$A,$B8)*LOG10(AY8)+LOG10(1/$AD8))</f>
        <v>15.601553701275268</v>
      </c>
      <c r="BI8" s="39">
        <f t="shared" ref="BI8:BI9" si="20">((BG8-BF8)/2.1)*($C8-2.7)+BG8</f>
        <v>15.825451396007381</v>
      </c>
      <c r="BJ8" s="39">
        <f t="shared" ref="BJ8:BJ9" si="21">((BH8-BG8)/11.6)*($C8-14.3)+BH8</f>
        <v>13.343326540121227</v>
      </c>
      <c r="BK8" s="39">
        <f t="shared" ref="BK8:BK9" si="22">BI8*(2.7-$C8)/2.1+BJ8*($C8-0.6)/2.1</f>
        <v>11.617658783171807</v>
      </c>
      <c r="BL8" s="40">
        <f t="shared" ref="BL8:BL9" si="23">IF(AND($C8&gt;=0.208,$C8&lt;=0.6),BE8,IF($C8&lt;=2.7,BK8,BJ8))</f>
        <v>13.343326540121227</v>
      </c>
      <c r="BM8" s="42">
        <f>10^((SUMIFS(Table3!$B:$B,Table3!$A:$A,$B8)+SUMIFS(Table3!$C:$C,Table3!$A:$A,$B8)*LOG10($E8)+(SUMIFS(Table3!$D:$D,Table3!$A:$A,$B8)*$J8)/(SUMIFS(Table3!$E:$E,Table3!$A:$A,$B8)*$D8^7+SUMIFS(Table3!$F:$F,Table3!$A:$A,$B8)*$D8^6+SUMIFS(Table3!$G:$G,Table3!$A:$A,$B8)*$D8^5+SUMIFS(Table3!$H:$H,Table3!$A:$A,$B8)*$D8^4+SUMIFS(Table3!$I:$I,Table3!$A:$A,$B8)*$D8^3+SUMIFS(Table3!$J:$J,Table3!$A:$A,$B8)*$D8^2+SUMIFS(Table3!$K:$K,Table3!$A:$A,$B8)*$D8)+SUMIFS(Table3!$L:$L,Table3!$A:$A,$B8)*LOG10($D8)+SUMIFS(Table3!$N:$N,Table3!$A:$A,$B8)*LOG10(BC8)+LOG10(1/$AD8)-LOG10(20/BD8))/-SUMIFS(Table3!$M:$M,Table3!$A:$A,$B8))</f>
        <v>1502.6712983872962</v>
      </c>
      <c r="BN8" s="42">
        <f>10^((SUMIFS(Table3!$B:$B,Table3!$A:$A,$B8)+SUMIFS(Table3!$C:$C,Table3!$A:$A,$B8)*LOG10($E8)+(SUMIFS(Table3!$D:$D,Table3!$A:$A,$B8)*AW8)/(SUMIFS(Table3!$E:$E,Table3!$A:$A,$B8)*$D8^7+SUMIFS(Table3!$F:$F,Table3!$A:$A,$B8)*$D8^6+SUMIFS(Table3!$G:$G,Table3!$A:$A,$B8)*$D8^5+SUMIFS(Table3!$H:$H,Table3!$A:$A,$B8)*$D8^4+SUMIFS(Table3!$I:$I,Table3!$A:$A,$B8)*$D8^3+SUMIFS(Table3!$J:$J,Table3!$A:$A,$B8)*$D8^2+SUMIFS(Table3!$K:$K,Table3!$A:$A,$B8)*$D8)+SUMIFS(Table3!$L:$L,Table3!$A:$A,$B8)*LOG10($D8)+SUMIFS(Table3!$N:$N,Table3!$A:$A,$B8)*LOG10(AW8)+LOG10(1/$AD8)-LOG10(20/BD8))/-SUMIFS(Table3!$M:$M,Table3!$A:$A,$B8))</f>
        <v>1315.703352801698</v>
      </c>
      <c r="BO8" s="42">
        <f>10^((SUMIFS(Table4!$B:$B,Table4!$A:$A,$B8)+SUMIFS(Table4!$C:$C,Table4!$A:$A,$B8)*LOG10($E8)+(SUMIFS(Table4!$D:$D,Table4!$A:$A,$B8)*AX8)/(SUMIFS(Table4!$E:$E,Table4!$A:$A,$B8)*$D8^7+SUMIFS(Table4!$F:$F,Table4!$A:$A,$B8)*$D8^6+SUMIFS(Table4!$G:$G,Table4!$A:$A,$B8)*$D8^5+SUMIFS(Table4!$H:$H,Table4!$A:$A,$B8)*$D8^4+SUMIFS(Table4!$I:$I,Table4!$A:$A,$B8)*$D8^3+SUMIFS(Table4!$J:$J,Table4!$A:$A,$B8)*$D8^2+SUMIFS(Table4!$K:$K,Table4!$A:$A,$B8)*$D8)+SUMIFS(Table4!$L:$L,Table4!$A:$A,$B8)*LOG10($D8)+SUMIFS(Table4!$N:$N,Table4!$A:$A,$B8)*LOG10(AX8)+LOG10(1/$AD8)-LOG10(20/BD8))/-SUMIFS(Table4!$M:$M,Table4!$A:$A,$B8))</f>
        <v>1678.2497478284147</v>
      </c>
      <c r="BP8" s="42">
        <f>10^((SUMIFS(Table5!$B:$B,Table5!$A:$A,$B8)+SUMIFS(Table5!$C:$C,Table5!$A:$A,$B8)*LOG10($E8)+(SUMIFS(Table5!$D:$D,Table5!$A:$A,$B8)*AY8)/(SUMIFS(Table5!$E:$E,Table5!$A:$A,$B8)*$D8^7+SUMIFS(Table5!$F:$F,Table5!$A:$A,$B8)*$D8^6+SUMIFS(Table5!$G:$G,Table5!$A:$A,$B8)*$D8^5+SUMIFS(Table5!$H:$H,Table5!$A:$A,$B8)*$D8^4+SUMIFS(Table5!$I:$I,Table5!$A:$A,$B8)*$D8^3+SUMIFS(Table5!$J:$J,Table5!$A:$A,$B8)*$D8^2+SUMIFS(Table5!$K:$K,Table5!$A:$A,$B8)*$D8)+SUMIFS(Table5!$L:$L,Table5!$A:$A,$B8)*LOG10($D8)+SUMIFS(Table5!$N:$N,Table5!$A:$A,$B8)*LOG10(AY8)+LOG10(1/$AD8)-LOG10(20/BD8))/-SUMIFS(Table5!$M:$M,Table5!$A:$A,$B8))</f>
        <v>1884.3587783857336</v>
      </c>
      <c r="BQ8" s="42">
        <f t="shared" ref="BQ8:BQ9" si="24">((BO8-BN8)/2.1)*($C8-2.7)+BO8</f>
        <v>1930.3058129422272</v>
      </c>
      <c r="BR8" s="42">
        <f t="shared" ref="BR8:BR9" si="25">((BP8-BO8)/11.6)*($C8-14.3)+BP8</f>
        <v>1704.1910568468359</v>
      </c>
      <c r="BS8" s="42">
        <f t="shared" ref="BS8:BS9" si="26">(BQ8*(2.7-$C8)/2.1)+(BR8*($C8-0.6)/2.1)</f>
        <v>1546.9874645138495</v>
      </c>
      <c r="BT8" s="43">
        <f t="shared" ref="BT8:BT9" si="27">IF(AND($C8&gt;=0.208,$C8&lt;=0.6),BM8,IF($C8&lt;=2.7,BS8,BR8))</f>
        <v>1704.1910568468359</v>
      </c>
    </row>
    <row r="9" spans="1:72" x14ac:dyDescent="0.2">
      <c r="A9" s="46" t="s">
        <v>191</v>
      </c>
      <c r="B9" s="76" t="s">
        <v>1</v>
      </c>
      <c r="C9" s="41">
        <v>0.48</v>
      </c>
      <c r="D9" s="41">
        <v>45</v>
      </c>
      <c r="E9" s="41">
        <v>32</v>
      </c>
      <c r="F9" s="41">
        <v>609.6</v>
      </c>
      <c r="G9" s="41">
        <v>610</v>
      </c>
      <c r="H9" s="41">
        <v>610</v>
      </c>
      <c r="I9" s="41">
        <v>254</v>
      </c>
      <c r="J9" s="39">
        <f>10^(SUMIFS(Table1!$C:$C,Table1!$B:$B,600,Table1!$A:$A,$B9)+SUMIFS(Table1!$D:$D,Table1!$B:$B,600,Table1!$A:$A,$B9)*LOG10($D9)+SUMIFS(Table1!$E:$E,Table1!$B:$B,600,Table1!$A:$A,$B9)*LOG10($E9))*(SUMIFS(Table1!$F:$F,Table1!$B:$B,600,Table1!$A:$A,$B9)*$D9^6+SUMIFS(Table1!$G:$G,Table1!$B:$B,600,Table1!$A:$A,$B9)*$D9^5+SUMIFS(Table1!$H:$H,Table1!$B:$B,600,Table1!$A:$A,$B9)*$D9^4+SUMIFS(Table1!$I:$I,Table1!$B:$B,600,Table1!$A:$A,$B9)*$D9^3+SUMIFS(Table1!$J:$J,Table1!$B:$B,600,Table1!$A:$A,$B9)*$D9^2+SUMIFS(Table1!$K:$K,Table1!$B:$B,600,Table1!$A:$A,$B9)*$D9+SUMIFS(Table1!$L:$L,Table1!$B:$B,600,Table1!$A:$A,$B9))</f>
        <v>32.448668926088224</v>
      </c>
      <c r="K9" s="39">
        <f>10^(SUMIFS(Table1!$C:$C,Table1!$B:$B,2700,Table1!$A:$A,$B9)+SUMIFS(Table1!$D:$D,Table1!$B:$B,2700,Table1!$A:$A,$B9)*LOG10($D9)+SUMIFS(Table1!$E:$E,Table1!$B:$B,2700,Table1!$A:$A,$B9)*LOG10($E9))*(SUMIFS(Table1!$F:$F,Table1!$B:$B,2700,Table1!$A:$A,$B9)*$D9^6+SUMIFS(Table1!$G:$G,Table1!$B:$B,2700,Table1!$A:$A,$B9)*$D9^5+SUMIFS(Table1!$H:$H,Table1!$B:$B,2700,Table1!$A:$A,$B9)*$D9^4+SUMIFS(Table1!$I:$I,Table1!$B:$B,2700,Table1!$A:$A,$B9)*$D9^3+SUMIFS(Table1!$J:$J,Table1!$B:$B,2700,Table1!$A:$A,$B9)*$D9^2+SUMIFS(Table1!$K:$K,Table1!$B:$B,2700,Table1!$A:$A,$B9)*$D9+SUMIFS(Table1!$L:$L,Table1!$B:$B,2700,Table1!$A:$A,$B9))</f>
        <v>38.64296295682815</v>
      </c>
      <c r="L9" s="39">
        <f>10^(SUMIFS(Table1!$C:$C,Table1!$B:$B,14300,Table1!$A:$A,$B9)+SUMIFS(Table1!$D:$D,Table1!$B:$B,14300,Table1!$A:$A,$B9)*LOG10($D9)+SUMIFS(Table1!$E:$E,Table1!$B:$B,14300,Table1!$A:$A,$B9)*LOG10($E9))*(SUMIFS(Table1!$F:$F,Table1!$B:$B,14300,Table1!$A:$A,$B9)*$D9^6+SUMIFS(Table1!$G:$G,Table1!$B:$B,14300,Table1!$A:$A,$B9)*$D9^5+SUMIFS(Table1!$H:$H,Table1!$B:$B,14300,Table1!$A:$A,$B9)*$D9^4+SUMIFS(Table1!$I:$I,Table1!$B:$B,14300,Table1!$A:$A,$B9)*$D9^3+SUMIFS(Table1!$J:$J,Table1!$B:$B,14300,Table1!$A:$A,$B9)*$D9^2+SUMIFS(Table1!$K:$K,Table1!$B:$B,14300,Table1!$A:$A,$B9)*$D9+SUMIFS(Table1!$L:$L,Table1!$B:$B,14300,Table1!$A:$A,$B9))</f>
        <v>42.567421474603279</v>
      </c>
      <c r="M9" s="39">
        <f t="shared" si="0"/>
        <v>32.094709267188797</v>
      </c>
      <c r="N9" s="39">
        <f t="shared" si="1"/>
        <v>37.891902792219462</v>
      </c>
      <c r="O9" s="39">
        <f t="shared" si="2"/>
        <v>31.763441065758482</v>
      </c>
      <c r="P9" s="40">
        <f>IF(AND($C9&gt;=0.208,$C9&lt;=0.6),1/SQRT((0.6/$C9)^2*(1/(J9)^2-(0.6^2-($C9)^2)/(0.6^2*($D9)^2))),IF(AND($C9&gt;0.6,$C9&lt;=2.7),O9,IF($C9&gt;2.7,N9,"Errado")))</f>
        <v>28.793273451883572</v>
      </c>
      <c r="Q9" s="41">
        <v>61.3</v>
      </c>
      <c r="R9" s="45" t="str">
        <f t="shared" si="3"/>
        <v>Typical</v>
      </c>
      <c r="S9" s="36">
        <f t="shared" si="4"/>
        <v>4</v>
      </c>
      <c r="T9" s="36">
        <f t="shared" si="5"/>
        <v>20</v>
      </c>
      <c r="U9" s="36">
        <f t="shared" si="6"/>
        <v>610</v>
      </c>
      <c r="V9" s="36">
        <f>(660.4+($U9-660.4)*($C9+$S9)/$T9)*(1/25.4)</f>
        <v>25.555527559055118</v>
      </c>
      <c r="W9" s="36">
        <f t="shared" si="7"/>
        <v>610</v>
      </c>
      <c r="X9" s="36">
        <f>(660.4+($W9-660.4)*($C9+$S9)/$T9)*(1/25.4)</f>
        <v>25.555527559055118</v>
      </c>
      <c r="Y9" s="37">
        <f>IF($G9&lt;508,IF($R9="Typical",20,0.03937*$G9),IF($G9&lt;=660.4,0.03937*$G9,IF($G9&lt;=1244.6,$V9,$V9)))</f>
        <v>24.015700000000002</v>
      </c>
      <c r="Z9" s="37">
        <f>IF($H9&lt;508,IF($R9="Typical",20,0.03937*$H9),IF($H9&lt;=660.4,0.03937*$H9,IF($H9&lt;=1244.6,IF($B9="VCB",0.03937*$H9,$X9),IF($B9="VCB",49,$X9))))</f>
        <v>24.015700000000002</v>
      </c>
      <c r="AA9" s="39">
        <f>(Z9+Y9)/2</f>
        <v>24.015700000000002</v>
      </c>
      <c r="AB9" s="38">
        <f>SUMIFS(Table7!C:C,Table7!A:A,"Typical",Table7!B:B,$B9)*$AA9^2+SUMIFS(Table7!D:D,Table7!A:A,"Typical",Table7!B:B,$B9)*$AA9+SUMIFS(Table7!E:E,Table7!A:A,"Typical",Table7!B:B,$B9)</f>
        <v>1.0847005753600203</v>
      </c>
      <c r="AC9" s="38">
        <f>1/(SUMIFS(Table7!C:C,Table7!A:A,"Shallow",Table7!B:B,$B9)*$AA9^2+SUMIFS(Table7!D:D,Table7!A:A,"Shallow",Table7!B:B,$B9)*$AA9+SUMIFS(Table7!E:E,Table7!A:A,"Shallow",Table7!B:B,$B9))</f>
        <v>0.77525043686383133</v>
      </c>
      <c r="AD9" s="39">
        <f>IF(R9="Typical",AB9,AC9)</f>
        <v>1.0847005753600203</v>
      </c>
      <c r="AE9" s="39">
        <f>(12.552/50)*Q9*10^(SUMIFS(Table3!$B:$B,Table3!$A:$A,$B9)+SUMIFS(Table3!$C:$C,Table3!$A:$A,$B9)*LOG10($E9)+SUMIFS(Table3!$D:$D,Table3!$A:$A,$B9)*$J9/(SUMIFS(Table3!$E:$E,Table3!$A:$A,$B9)*$D9^7+SUMIFS(Table3!$F:$F,Table3!$A:$A,$B9)*$D9^6+SUMIFS(Table3!$G:$G,Table3!$A:$A,$B9)*$D9^5+SUMIFS(Table3!$H:$H,Table3!$A:$A,$B9)*$D9^4+SUMIFS(Table3!$I:$I,Table3!$A:$A,$B9)*$D9^3+SUMIFS(Table3!$J:$J,Table3!$A:$A,$B9)*$D9^2+SUMIFS(Table3!$K:$K,Table3!$A:$A,$B9)*$D9)+SUMIFS(Table3!$L:$L,Table3!$A:$A,$B9)*LOG10($D9)+SUMIFS(Table3!$M:$M,Table3!$A:$A,$B9)*LOG10($F9)+SUMIFS(Table3!$N:$N,Table3!$A:$A,$B9)*LOG10(P9)+LOG10(1/$AD9))</f>
        <v>11.584954873360532</v>
      </c>
      <c r="AF9" s="39">
        <f>(12.552/50)*Q9*10^(SUMIFS(Table3!$B:$B,Table3!$A:$A,$B9)+SUMIFS(Table3!$C:$C,Table3!$A:$A,$B9)*LOG10($E9)+SUMIFS(Table3!$D:$D,Table3!$A:$A,$B9)*J9/(SUMIFS(Table3!$E:$E,Table3!$A:$A,$B9)*$D9^7+SUMIFS(Table3!$F:$F,Table3!$A:$A,$B9)*$D9^6+SUMIFS(Table3!$G:$G,Table3!$A:$A,$B9)*$D9^5+SUMIFS(Table3!$H:$H,Table3!$A:$A,$B9)*$D9^4+SUMIFS(Table3!$I:$I,Table3!$A:$A,$B9)*$D9^3+SUMIFS(Table3!$J:$J,Table3!$A:$A,$B9)*$D9^2+SUMIFS(Table3!$K:$K,Table3!$A:$A,$B9)*$D9)+SUMIFS(Table3!$L:$L,Table3!$A:$A,$B9)*LOG10($D9)+SUMIFS(Table3!$M:$M,Table3!$A:$A,$B9)*LOG10($F9)+SUMIFS(Table3!$N:$N,Table3!$A:$A,$B9)*LOG10(J9)+LOG10(1/$AD9))</f>
        <v>12.988776373905678</v>
      </c>
      <c r="AG9" s="39">
        <f>(12.552/50)*Q9*10^(SUMIFS(Table4!$B:$B,Table4!$A:$A,$B9)+SUMIFS(Table4!$C:$C,Table4!$A:$A,$B9)*LOG10($E9)+SUMIFS(Table4!$D:$D,Table4!$A:$A,$B9)*K9/(SUMIFS(Table4!$E:$E,Table4!$A:$A,$B9)*$D9^7+SUMIFS(Table4!$F:$F,Table4!$A:$A,$B9)*$D9^6+SUMIFS(Table4!$G:$G,Table4!$A:$A,$B9)*$D9^5+SUMIFS(Table4!$H:$H,Table4!$A:$A,$B9)*$D9^4+SUMIFS(Table4!$I:$I,Table4!$A:$A,$B9)*$D9^3+SUMIFS(Table4!$J:$J,Table4!$A:$A,$B9)*$D9^2+SUMIFS(Table4!$K:$K,Table4!$A:$A,$B9)*$D9)+SUMIFS(Table4!$L:$L,Table4!$A:$A,$B9)*LOG10($D9)+SUMIFS(Table4!$M:$M,Table4!$A:$A,$B9)*LOG10($F9)+SUMIFS(Table4!$N:$N,Table4!$A:$A,$B9)*LOG10(K9)+LOG10(1/$AD9))</f>
        <v>20.637836853828198</v>
      </c>
      <c r="AH9" s="39">
        <f>(12.552/50)*Q9*10^(SUMIFS(Table5!$B:$B,Table5!$A:$A,$B9)+SUMIFS(Table5!$C:$C,Table5!$A:$A,$B9)*LOG10($E9)+SUMIFS(Table5!$D:$D,Table5!$A:$A,$B9)*L9/(SUMIFS(Table5!$E:$E,Table5!$A:$A,$B9)*$D9^7+SUMIFS(Table5!$F:$F,Table5!$A:$A,$B9)*$D9^6+SUMIFS(Table5!$G:$G,Table5!$A:$A,$B9)*$D9^5+SUMIFS(Table5!$H:$H,Table5!$A:$A,$B9)*$D9^4+SUMIFS(Table5!$I:$I,Table5!$A:$A,$B9)*$D9^3+SUMIFS(Table5!$J:$J,Table5!$A:$A,$B9)*$D9^2+SUMIFS(Table5!$K:$K,Table5!$A:$A,$B9)*$D9)+SUMIFS(Table5!$L:$L,Table5!$A:$A,$B9)*LOG10($D9)+SUMIFS(Table5!$M:$M,Table5!$A:$A,$B9)*LOG10($F9)+SUMIFS(Table5!$N:$N,Table5!$A:$A,$B9)*LOG10(L9)+LOG10(1/$AD9))</f>
        <v>22.73128833478285</v>
      </c>
      <c r="AI9" s="39">
        <f t="shared" si="8"/>
        <v>12.55168720362439</v>
      </c>
      <c r="AJ9" s="39">
        <f t="shared" si="9"/>
        <v>20.23719355316274</v>
      </c>
      <c r="AK9" s="39">
        <f t="shared" si="10"/>
        <v>12.1125154122222</v>
      </c>
      <c r="AL9" s="40">
        <f t="shared" si="11"/>
        <v>11.584954873360532</v>
      </c>
      <c r="AM9" s="42">
        <f>10^((SUMIFS(Table3!$B:$B,Table3!$A:$A,$B9)+SUMIFS(Table3!$C:$C,Table3!$A:$A,$B9)*LOG10($E9)+(SUMIFS(Table3!$D:$D,Table3!$A:$A,$B9)*$J9)/(SUMIFS(Table3!$E:$E,Table3!$A:$A,$B9)*$D9^7+SUMIFS(Table3!$F:$F,Table3!$A:$A,$B9)*$D9^6+SUMIFS(Table3!$G:$G,Table3!$A:$A,$B9)*$D9^5+SUMIFS(Table3!$H:$H,Table3!$A:$A,$B9)*$D9^4+SUMIFS(Table3!$I:$I,Table3!$A:$A,$B9)*$D9^3+SUMIFS(Table3!$J:$J,Table3!$A:$A,$B9)*$D9^2+SUMIFS(Table3!$K:$K,Table3!$A:$A,$B9)*$D9)+SUMIFS(Table3!$L:$L,Table3!$A:$A,$B9)*LOG10($D9)+SUMIFS(Table3!$N:$N,Table3!$A:$A,$B9)*LOG10(P9)+LOG10(1/$AD9)-LOG10(20/Q9))/-SUMIFS(Table3!$M:$M,Table3!$A:$A,$B9))</f>
        <v>1028.679043392809</v>
      </c>
      <c r="AN9" s="42">
        <f>10^((SUMIFS(Table3!$B:$B,Table3!$A:$A,$B9)+SUMIFS(Table3!$C:$C,Table3!$A:$A,$B9)*LOG10($E9)+(SUMIFS(Table3!$D:$D,Table3!$A:$A,$B9)*J9)/(SUMIFS(Table3!$E:$E,Table3!$A:$A,$B9)*$D9^7+SUMIFS(Table3!$F:$F,Table3!$A:$A,$B9)*$D9^6+SUMIFS(Table3!$G:$G,Table3!$A:$A,$B9)*$D9^5+SUMIFS(Table3!$H:$H,Table3!$A:$A,$B9)*$D9^4+SUMIFS(Table3!$I:$I,Table3!$A:$A,$B9)*$D9^3+SUMIFS(Table3!$J:$J,Table3!$A:$A,$B9)*$D9^2+SUMIFS(Table3!$K:$K,Table3!$A:$A,$B9)*$D9)+SUMIFS(Table3!$L:$L,Table3!$A:$A,$B9)*LOG10($D9)+SUMIFS(Table3!$N:$N,Table3!$A:$A,$B9)*LOG10(J9)+LOG10(1/$AD9)-LOG10(20/Q9))/-SUMIFS(Table3!$M:$M,Table3!$A:$A,$B9))</f>
        <v>1105.006752440062</v>
      </c>
      <c r="AO9" s="42">
        <f>10^((SUMIFS(Table4!$B:$B,Table4!$A:$A,$B9)+SUMIFS(Table4!$C:$C,Table4!$A:$A,$B9)*LOG10($E9)+(SUMIFS(Table4!$D:$D,Table4!$A:$A,$B9)*K9)/(SUMIFS(Table4!$E:$E,Table4!$A:$A,$B9)*$D9^7+SUMIFS(Table4!$F:$F,Table4!$A:$A,$B9)*$D9^6+SUMIFS(Table4!$G:$G,Table4!$A:$A,$B9)*$D9^5+SUMIFS(Table4!$H:$H,Table4!$A:$A,$B9)*$D9^4+SUMIFS(Table4!$I:$I,Table4!$A:$A,$B9)*$D9^3+SUMIFS(Table4!$J:$J,Table4!$A:$A,$B9)*$D9^2+SUMIFS(Table4!$K:$K,Table4!$A:$A,$B9)*$D9)+SUMIFS(Table4!$L:$L,Table4!$A:$A,$B9)*LOG10($D9)+SUMIFS(Table4!$N:$N,Table4!$A:$A,$B9)*LOG10(K9)+LOG10(1/$AD9)-LOG10(20/Q9))/-SUMIFS(Table4!$M:$M,Table4!$A:$A,$B9))</f>
        <v>1500.7477718768971</v>
      </c>
      <c r="AP9" s="42">
        <f>10^((SUMIFS(Table5!$B:$B,Table5!$A:$A,$B9)+SUMIFS(Table5!$C:$C,Table5!$A:$A,$B9)*LOG10($E9)+(SUMIFS(Table5!$D:$D,Table5!$A:$A,$B9)*L9)/(SUMIFS(Table5!$E:$E,Table5!$A:$A,$B9)*$D9^7+SUMIFS(Table5!$F:$F,Table5!$A:$A,$B9)*$D9^6+SUMIFS(Table5!$G:$G,Table5!$A:$A,$B9)*$D9^5+SUMIFS(Table5!$H:$H,Table5!$A:$A,$B9)*$D9^4+SUMIFS(Table5!$I:$I,Table5!$A:$A,$B9)*$D9^3+SUMIFS(Table5!$J:$J,Table5!$A:$A,$B9)*$D9^2+SUMIFS(Table5!$K:$K,Table5!$A:$A,$B9)*$D9)+SUMIFS(Table5!$L:$L,Table5!$A:$A,$B9)*LOG10($D9)+SUMIFS(Table5!$N:$N,Table5!$A:$A,$B9)*LOG10(L9)+LOG10(1/$AD9)-LOG10(20/Q9))/-SUMIFS(Table5!$M:$M,Table5!$A:$A,$B9))</f>
        <v>1597.0457668109232</v>
      </c>
      <c r="AQ9" s="42">
        <f t="shared" si="12"/>
        <v>1082.3929799008142</v>
      </c>
      <c r="AR9" s="42">
        <f t="shared" si="13"/>
        <v>1482.3183280188334</v>
      </c>
      <c r="AS9" s="42">
        <f t="shared" si="14"/>
        <v>1059.540102865499</v>
      </c>
      <c r="AT9" s="43">
        <f t="shared" si="15"/>
        <v>1028.679043392809</v>
      </c>
      <c r="AU9" s="39">
        <f>SUMIFS(Table2!$B:$B,Table2!$A:$A,$B9)*$C9^6+SUMIFS(Table2!$C:$C,Table2!$A:$A,$B9)*$C9^5+SUMIFS(Table2!$D:$D,Table2!$A:$A,$B9)*$C9^4+SUMIFS(Table2!$E:$E,Table2!$A:$A,$B9)*$C9^3+SUMIFS(Table2!$F:$F,Table2!$A:$A,$B9)*$C9^2+SUMIFS(Table2!$G:$G,Table2!$A:$A,$B9)*$C9+SUMIFS(Table2!$H:$H,Table2!$A:$A,$B9)</f>
        <v>0.24650715388543171</v>
      </c>
      <c r="AV9" s="39">
        <f t="shared" si="16"/>
        <v>0.87674642305728412</v>
      </c>
      <c r="AW9" s="39">
        <f>J9*$AV9</f>
        <v>28.449254413917895</v>
      </c>
      <c r="AX9" s="39">
        <f>K9*$AV9</f>
        <v>33.880079548734209</v>
      </c>
      <c r="AY9" s="39">
        <f>L9*$AV9</f>
        <v>37.320834516630249</v>
      </c>
      <c r="AZ9" s="39">
        <f t="shared" si="17"/>
        <v>28.138921549071249</v>
      </c>
      <c r="BA9" s="39">
        <f t="shared" si="18"/>
        <v>33.221590235912728</v>
      </c>
      <c r="BB9" s="39">
        <f t="shared" si="19"/>
        <v>27.848483338394594</v>
      </c>
      <c r="BC9" s="40">
        <f>IF(AND($C9&gt;=0.208,$C9&lt;=0.6),1/SQRT((0.6/$C9)^2*(1/(J9)^2-(0.6^2-($C9)^2)/(0.6^2*($D9)^2)))*AV9,IF(AND($C9&gt;0.6,$C9&lt;=2.7),BB9,IF($C9&gt;2.7,BA9,"Erro")))</f>
        <v>25.244399507049181</v>
      </c>
      <c r="BD9" s="41">
        <v>319</v>
      </c>
      <c r="BE9" s="39">
        <f>(12.552/50)*BD9*10^(SUMIFS(Table3!$B:$B,Table3!$A:$A,$B9)+SUMIFS(Table3!$C:$C,Table3!$A:$A,$B9)*LOG10($E9)+SUMIFS(Table3!$D:$D,Table3!$A:$A,$B9)*$J9/(SUMIFS(Table3!$E:$E,Table3!$A:$A,$B9)*$D9^7+SUMIFS(Table3!$F:$F,Table3!$A:$A,$B9)*$D9^6+SUMIFS(Table3!$G:$G,Table3!$A:$A,$B9)*$D9^5+SUMIFS(Table3!$H:$H,Table3!$A:$A,$B9)*$D9^4+SUMIFS(Table3!$I:$I,Table3!$A:$A,$B9)*$D9^3+SUMIFS(Table3!$J:$J,Table3!$A:$A,$B9)*$D9^2+SUMIFS(Table3!$K:$K,Table3!$A:$A,$B9)*$D9)+SUMIFS(Table3!$L:$L,Table3!$A:$A,$B9)*LOG10($D9)+SUMIFS(Table3!$M:$M,Table3!$A:$A,$B9)*LOG10($F9)+SUMIFS(Table3!$N:$N,Table3!$A:$A,$B9)*LOG10(BC9)+LOG10(1/$AD9))</f>
        <v>53.156328368990266</v>
      </c>
      <c r="BF9" s="39">
        <f>(12.552/50)*BD9*10^(SUMIFS(Table3!$B:$B,Table3!$A:$A,$B9)+SUMIFS(Table3!$C:$C,Table3!$A:$A,$B9)*LOG10($E9)+SUMIFS(Table3!$D:$D,Table3!$A:$A,$B9)*AW9/(SUMIFS(Table3!$E:$E,Table3!$A:$A,$B9)*$D9^7+SUMIFS(Table3!$F:$F,Table3!$A:$A,$B9)*$D9^6+SUMIFS(Table3!$G:$G,Table3!$A:$A,$B9)*$D9^5+SUMIFS(Table3!$H:$H,Table3!$A:$A,$B9)*$D9^4+SUMIFS(Table3!$I:$I,Table3!$A:$A,$B9)*$D9^3+SUMIFS(Table3!$J:$J,Table3!$A:$A,$B9)*$D9^2+SUMIFS(Table3!$K:$K,Table3!$A:$A,$B9)*$D9)+SUMIFS(Table3!$L:$L,Table3!$A:$A,$B9)*LOG10($D9)+SUMIFS(Table3!$M:$M,Table3!$A:$A,$B9)*LOG10($F9)+SUMIFS(Table3!$N:$N,Table3!$A:$A,$B9)*LOG10(AW9)+LOG10(1/$AD9))</f>
        <v>40.506051921089515</v>
      </c>
      <c r="BG9" s="39">
        <f>(12.552/50)*BD9*10^(SUMIFS(Table4!$B:$B,Table4!$A:$A,$B9)+SUMIFS(Table4!$C:$C,Table4!$A:$A,$B9)*LOG10($E9)+SUMIFS(Table4!$D:$D,Table4!$A:$A,$B9)*AX9/(SUMIFS(Table4!$E:$E,Table4!$A:$A,$B9)*$D9^7+SUMIFS(Table4!$F:$F,Table4!$A:$A,$B9)*$D9^6+SUMIFS(Table4!$G:$G,Table4!$A:$A,$B9)*$D9^5+SUMIFS(Table4!$H:$H,Table4!$A:$A,$B9)*$D9^4+SUMIFS(Table4!$I:$I,Table4!$A:$A,$B9)*$D9^3+SUMIFS(Table4!$J:$J,Table4!$A:$A,$B9)*$D9^2+SUMIFS(Table4!$K:$K,Table4!$A:$A,$B9)*$D9)+SUMIFS(Table4!$L:$L,Table4!$A:$A,$B9)*LOG10($D9)+SUMIFS(Table4!$M:$M,Table4!$A:$A,$B9)*LOG10($F9)+SUMIFS(Table4!$N:$N,Table4!$A:$A,$B9)*LOG10(AX9)+LOG10(1/$AD9))</f>
        <v>85.941506696924463</v>
      </c>
      <c r="BH9" s="39">
        <f>(12.552/50)*BD9*10^(SUMIFS(Table5!$B:$B,Table5!$A:$A,$B9)+SUMIFS(Table5!$C:$C,Table5!$A:$A,$B9)*LOG10($E9)+SUMIFS(Table5!$D:$D,Table5!$A:$A,$B9)*AY9/(SUMIFS(Table5!$E:$E,Table5!$A:$A,$B9)*$D9^7+SUMIFS(Table5!$F:$F,Table5!$A:$A,$B9)*$D9^6+SUMIFS(Table5!$G:$G,Table5!$A:$A,$B9)*$D9^5+SUMIFS(Table5!$H:$H,Table5!$A:$A,$B9)*$D9^4+SUMIFS(Table5!$I:$I,Table5!$A:$A,$B9)*$D9^3+SUMIFS(Table5!$J:$J,Table5!$A:$A,$B9)*$D9^2+SUMIFS(Table5!$K:$K,Table5!$A:$A,$B9)*$D9)+SUMIFS(Table5!$L:$L,Table5!$A:$A,$B9)*LOG10($D9)+SUMIFS(Table5!$M:$M,Table5!$A:$A,$B9)*LOG10($F9)+SUMIFS(Table5!$N:$N,Table5!$A:$A,$B9)*LOG10(AY9)+LOG10(1/$AD9))</f>
        <v>139.20980216337674</v>
      </c>
      <c r="BI9" s="39">
        <f t="shared" si="20"/>
        <v>37.909740219613234</v>
      </c>
      <c r="BJ9" s="39">
        <f t="shared" si="21"/>
        <v>75.747057047310307</v>
      </c>
      <c r="BK9" s="39">
        <f t="shared" si="22"/>
        <v>35.747607829459113</v>
      </c>
      <c r="BL9" s="40">
        <f t="shared" si="23"/>
        <v>53.156328368990266</v>
      </c>
      <c r="BM9" s="42">
        <f>10^((SUMIFS(Table3!$B:$B,Table3!$A:$A,$B9)+SUMIFS(Table3!$C:$C,Table3!$A:$A,$B9)*LOG10($E9)+(SUMIFS(Table3!$D:$D,Table3!$A:$A,$B9)*$J9)/(SUMIFS(Table3!$E:$E,Table3!$A:$A,$B9)*$D9^7+SUMIFS(Table3!$F:$F,Table3!$A:$A,$B9)*$D9^6+SUMIFS(Table3!$G:$G,Table3!$A:$A,$B9)*$D9^5+SUMIFS(Table3!$H:$H,Table3!$A:$A,$B9)*$D9^4+SUMIFS(Table3!$I:$I,Table3!$A:$A,$B9)*$D9^3+SUMIFS(Table3!$J:$J,Table3!$A:$A,$B9)*$D9^2+SUMIFS(Table3!$K:$K,Table3!$A:$A,$B9)*$D9)+SUMIFS(Table3!$L:$L,Table3!$A:$A,$B9)*LOG10($D9)+SUMIFS(Table3!$N:$N,Table3!$A:$A,$B9)*LOG10(BC9)+LOG10(1/$AD9)-LOG10(20/BD9))/-SUMIFS(Table3!$M:$M,Table3!$A:$A,$B9))</f>
        <v>2668.9187630744063</v>
      </c>
      <c r="BN9" s="42">
        <f>10^((SUMIFS(Table3!$B:$B,Table3!$A:$A,$B9)+SUMIFS(Table3!$C:$C,Table3!$A:$A,$B9)*LOG10($E9)+(SUMIFS(Table3!$D:$D,Table3!$A:$A,$B9)*AW9)/(SUMIFS(Table3!$E:$E,Table3!$A:$A,$B9)*$D9^7+SUMIFS(Table3!$F:$F,Table3!$A:$A,$B9)*$D9^6+SUMIFS(Table3!$G:$G,Table3!$A:$A,$B9)*$D9^5+SUMIFS(Table3!$H:$H,Table3!$A:$A,$B9)*$D9^4+SUMIFS(Table3!$I:$I,Table3!$A:$A,$B9)*$D9^3+SUMIFS(Table3!$J:$J,Table3!$A:$A,$B9)*$D9^2+SUMIFS(Table3!$K:$K,Table3!$A:$A,$B9)*$D9)+SUMIFS(Table3!$L:$L,Table3!$A:$A,$B9)*LOG10($D9)+SUMIFS(Table3!$N:$N,Table3!$A:$A,$B9)*LOG10(AW9)+LOG10(1/$AD9)-LOG10(20/BD9))/-SUMIFS(Table3!$M:$M,Table3!$A:$A,$B9))</f>
        <v>2251.4956475119625</v>
      </c>
      <c r="BO9" s="42">
        <f>10^((SUMIFS(Table4!$B:$B,Table4!$A:$A,$B9)+SUMIFS(Table4!$C:$C,Table4!$A:$A,$B9)*LOG10($E9)+(SUMIFS(Table4!$D:$D,Table4!$A:$A,$B9)*AX9)/(SUMIFS(Table4!$E:$E,Table4!$A:$A,$B9)*$D9^7+SUMIFS(Table4!$F:$F,Table4!$A:$A,$B9)*$D9^6+SUMIFS(Table4!$G:$G,Table4!$A:$A,$B9)*$D9^5+SUMIFS(Table4!$H:$H,Table4!$A:$A,$B9)*$D9^4+SUMIFS(Table4!$I:$I,Table4!$A:$A,$B9)*$D9^3+SUMIFS(Table4!$J:$J,Table4!$A:$A,$B9)*$D9^2+SUMIFS(Table4!$K:$K,Table4!$A:$A,$B9)*$D9)+SUMIFS(Table4!$L:$L,Table4!$A:$A,$B9)*LOG10($D9)+SUMIFS(Table4!$N:$N,Table4!$A:$A,$B9)*LOG10(AX9)+LOG10(1/$AD9)-LOG10(20/BD9))/-SUMIFS(Table4!$M:$M,Table4!$A:$A,$B9))</f>
        <v>3725.3742215500502</v>
      </c>
      <c r="BP9" s="42">
        <f>10^((SUMIFS(Table5!$B:$B,Table5!$A:$A,$B9)+SUMIFS(Table5!$C:$C,Table5!$A:$A,$B9)*LOG10($E9)+(SUMIFS(Table5!$D:$D,Table5!$A:$A,$B9)*AY9)/(SUMIFS(Table5!$E:$E,Table5!$A:$A,$B9)*$D9^7+SUMIFS(Table5!$F:$F,Table5!$A:$A,$B9)*$D9^6+SUMIFS(Table5!$G:$G,Table5!$A:$A,$B9)*$D9^5+SUMIFS(Table5!$H:$H,Table5!$A:$A,$B9)*$D9^4+SUMIFS(Table5!$I:$I,Table5!$A:$A,$B9)*$D9^3+SUMIFS(Table5!$J:$J,Table5!$A:$A,$B9)*$D9^2+SUMIFS(Table5!$K:$K,Table5!$A:$A,$B9)*$D9)+SUMIFS(Table5!$L:$L,Table5!$A:$A,$B9)*LOG10($D9)+SUMIFS(Table5!$N:$N,Table5!$A:$A,$B9)*LOG10(AY9)+LOG10(1/$AD9)-LOG10(20/BD9))/-SUMIFS(Table5!$M:$M,Table5!$A:$A,$B9))</f>
        <v>5072.9410359587091</v>
      </c>
      <c r="BQ9" s="42">
        <f t="shared" si="24"/>
        <v>2167.2740147097861</v>
      </c>
      <c r="BR9" s="42">
        <f t="shared" si="25"/>
        <v>3467.4778139649443</v>
      </c>
      <c r="BS9" s="42">
        <f t="shared" si="26"/>
        <v>2092.9766547523491</v>
      </c>
      <c r="BT9" s="43">
        <f t="shared" si="27"/>
        <v>2668.9187630744063</v>
      </c>
    </row>
    <row r="10" spans="1:72" x14ac:dyDescent="0.2">
      <c r="A10" s="46" t="s">
        <v>177</v>
      </c>
      <c r="B10" s="76" t="s">
        <v>13</v>
      </c>
      <c r="C10" s="41">
        <v>13.8</v>
      </c>
      <c r="D10" s="41">
        <v>17.562999999999999</v>
      </c>
      <c r="E10" s="41">
        <v>153</v>
      </c>
      <c r="F10" s="41">
        <v>914.4</v>
      </c>
      <c r="G10" s="41">
        <v>800</v>
      </c>
      <c r="H10" s="41">
        <v>1135</v>
      </c>
      <c r="I10" s="41">
        <v>900</v>
      </c>
      <c r="J10" s="39">
        <f>10^(SUMIFS(Table1!$C:$C,Table1!$B:$B,600,Table1!$A:$A,$B10)+SUMIFS(Table1!$D:$D,Table1!$B:$B,600,Table1!$A:$A,$B10)*LOG10($D10)+SUMIFS(Table1!$E:$E,Table1!$B:$B,600,Table1!$A:$A,$B10)*LOG10($E10))*(SUMIFS(Table1!$F:$F,Table1!$B:$B,600,Table1!$A:$A,$B10)*$D10^6+SUMIFS(Table1!$G:$G,Table1!$B:$B,600,Table1!$A:$A,$B10)*$D10^5+SUMIFS(Table1!$H:$H,Table1!$B:$B,600,Table1!$A:$A,$B10)*$D10^4+SUMIFS(Table1!$I:$I,Table1!$B:$B,600,Table1!$A:$A,$B10)*$D10^3+SUMIFS(Table1!$J:$J,Table1!$B:$B,600,Table1!$A:$A,$B10)*$D10^2+SUMIFS(Table1!$K:$K,Table1!$B:$B,600,Table1!$A:$A,$B10)*$D10+SUMIFS(Table1!$L:$L,Table1!$B:$B,600,Table1!$A:$A,$B10))</f>
        <v>13.996248284438272</v>
      </c>
      <c r="K10" s="39">
        <f>10^(SUMIFS(Table1!$C:$C,Table1!$B:$B,2700,Table1!$A:$A,$B10)+SUMIFS(Table1!$D:$D,Table1!$B:$B,2700,Table1!$A:$A,$B10)*LOG10($D10)+SUMIFS(Table1!$E:$E,Table1!$B:$B,2700,Table1!$A:$A,$B10)*LOG10($E10))*(SUMIFS(Table1!$F:$F,Table1!$B:$B,2700,Table1!$A:$A,$B10)*$D10^6+SUMIFS(Table1!$G:$G,Table1!$B:$B,2700,Table1!$A:$A,$B10)*$D10^5+SUMIFS(Table1!$H:$H,Table1!$B:$B,2700,Table1!$A:$A,$B10)*$D10^4+SUMIFS(Table1!$I:$I,Table1!$B:$B,2700,Table1!$A:$A,$B10)*$D10^3+SUMIFS(Table1!$J:$J,Table1!$B:$B,2700,Table1!$A:$A,$B10)*$D10^2+SUMIFS(Table1!$K:$K,Table1!$B:$B,2700,Table1!$A:$A,$B10)*$D10+SUMIFS(Table1!$L:$L,Table1!$B:$B,2700,Table1!$A:$A,$B10))</f>
        <v>15.472627621497663</v>
      </c>
      <c r="L10" s="39">
        <f>10^(SUMIFS(Table1!$C:$C,Table1!$B:$B,14300,Table1!$A:$A,$B10)+SUMIFS(Table1!$D:$D,Table1!$B:$B,14300,Table1!$A:$A,$B10)*LOG10($D10)+SUMIFS(Table1!$E:$E,Table1!$B:$B,14300,Table1!$A:$A,$B10)*LOG10($E10))*(SUMIFS(Table1!$F:$F,Table1!$B:$B,14300,Table1!$A:$A,$B10)*$D10^6+SUMIFS(Table1!$G:$G,Table1!$B:$B,14300,Table1!$A:$A,$B10)*$D10^5+SUMIFS(Table1!$H:$H,Table1!$B:$B,14300,Table1!$A:$A,$B10)*$D10^4+SUMIFS(Table1!$I:$I,Table1!$B:$B,14300,Table1!$A:$A,$B10)*$D10^3+SUMIFS(Table1!$J:$J,Table1!$B:$B,14300,Table1!$A:$A,$B10)*$D10^2+SUMIFS(Table1!$K:$K,Table1!$B:$B,14300,Table1!$A:$A,$B10)*$D10+SUMIFS(Table1!$L:$L,Table1!$B:$B,14300,Table1!$A:$A,$B10))</f>
        <v>16.815073989367033</v>
      </c>
      <c r="M10" s="39">
        <f t="shared" si="0"/>
        <v>23.276346974525879</v>
      </c>
      <c r="N10" s="39">
        <f t="shared" si="1"/>
        <v>16.757209921786455</v>
      </c>
      <c r="O10" s="39">
        <f t="shared" si="2"/>
        <v>-17.70108592840765</v>
      </c>
      <c r="P10" s="40">
        <f>IF(AND($C10&gt;=0.208,$C10&lt;=0.6),1/SQRT((0.6/$C10)^2*(1/(J10)^2-(0.6^2-($C10)^2)/(0.6^2*($D10)^2))),IF(AND($C10&gt;0.6,$C10&lt;=2.7),O10,IF($C10&gt;2.7,N10,"Errado")))</f>
        <v>16.757209921786455</v>
      </c>
      <c r="Q10" s="41">
        <v>180</v>
      </c>
      <c r="R10" s="45" t="str">
        <f t="shared" si="3"/>
        <v>Typical</v>
      </c>
      <c r="S10" s="36">
        <f t="shared" si="4"/>
        <v>10</v>
      </c>
      <c r="T10" s="36">
        <f t="shared" si="5"/>
        <v>24</v>
      </c>
      <c r="U10" s="36">
        <f t="shared" si="6"/>
        <v>800</v>
      </c>
      <c r="V10" s="36">
        <f>(660.4+($U10-660.4)*($C10+$S10)/$T10)*(1/25.4)</f>
        <v>31.450262467191603</v>
      </c>
      <c r="W10" s="36">
        <f t="shared" si="7"/>
        <v>1135</v>
      </c>
      <c r="X10" s="36">
        <f>(660.4+($W10-660.4)*($C10+$S10)/$T10)*(1/25.4)</f>
        <v>44.529330708661419</v>
      </c>
      <c r="Y10" s="37">
        <f>IF($G10&lt;508,IF($R10="Typical",20,0.03937*$G10),IF($G10&lt;=660.4,0.03937*$G10,IF($G10&lt;=1244.6,$V10,$V10)))</f>
        <v>31.450262467191603</v>
      </c>
      <c r="Z10" s="37">
        <f>IF($H10&lt;508,IF($R10="Typical",20,0.03937*$H10),IF($H10&lt;=660.4,0.03937*$H10,IF($H10&lt;=1244.6,IF($B10="VCB",0.03937*$H10,$X10),IF($B10="VCB",49,$X10))))</f>
        <v>44.529330708661419</v>
      </c>
      <c r="AA10" s="39">
        <f>(Z10+Y10)/2</f>
        <v>37.989796587926513</v>
      </c>
      <c r="AB10" s="38">
        <f>SUMIFS(Table7!C:C,Table7!A:A,"Typical",Table7!B:B,$B10)*$AA10^2+SUMIFS(Table7!D:D,Table7!A:A,"Typical",Table7!B:B,$B10)*$AA10+SUMIFS(Table7!E:E,Table7!A:A,"Typical",Table7!B:B,$B10)</f>
        <v>1.2651698365235395</v>
      </c>
      <c r="AC10" s="38">
        <f>1/(SUMIFS(Table7!C:C,Table7!A:A,"Shallow",Table7!B:B,$B10)*$AA10^2+SUMIFS(Table7!D:D,Table7!A:A,"Shallow",Table7!B:B,$B10)*$AA10+SUMIFS(Table7!E:E,Table7!A:A,"Shallow",Table7!B:B,$B10))</f>
        <v>4.017618876004966</v>
      </c>
      <c r="AD10" s="39">
        <f>IF(R10="Typical",AB10,AC10)</f>
        <v>1.2651698365235395</v>
      </c>
      <c r="AE10" s="39">
        <f>(12.552/50)*Q10*10^(SUMIFS(Table3!$B:$B,Table3!$A:$A,$B10)+SUMIFS(Table3!$C:$C,Table3!$A:$A,$B10)*LOG10($E10)+SUMIFS(Table3!$D:$D,Table3!$A:$A,$B10)*$J10/(SUMIFS(Table3!$E:$E,Table3!$A:$A,$B10)*$D10^7+SUMIFS(Table3!$F:$F,Table3!$A:$A,$B10)*$D10^6+SUMIFS(Table3!$G:$G,Table3!$A:$A,$B10)*$D10^5+SUMIFS(Table3!$H:$H,Table3!$A:$A,$B10)*$D10^4+SUMIFS(Table3!$I:$I,Table3!$A:$A,$B10)*$D10^3+SUMIFS(Table3!$J:$J,Table3!$A:$A,$B10)*$D10^2+SUMIFS(Table3!$K:$K,Table3!$A:$A,$B10)*$D10)+SUMIFS(Table3!$L:$L,Table3!$A:$A,$B10)*LOG10($D10)+SUMIFS(Table3!$M:$M,Table3!$A:$A,$B10)*LOG10($F10)+SUMIFS(Table3!$N:$N,Table3!$A:$A,$B10)*LOG10(P10)+LOG10(1/$AD10))</f>
        <v>13.981972263048052</v>
      </c>
      <c r="AF10" s="39">
        <f>(12.552/50)*Q10*10^(SUMIFS(Table3!$B:$B,Table3!$A:$A,$B10)+SUMIFS(Table3!$C:$C,Table3!$A:$A,$B10)*LOG10($E10)+SUMIFS(Table3!$D:$D,Table3!$A:$A,$B10)*J10/(SUMIFS(Table3!$E:$E,Table3!$A:$A,$B10)*$D10^7+SUMIFS(Table3!$F:$F,Table3!$A:$A,$B10)*$D10^6+SUMIFS(Table3!$G:$G,Table3!$A:$A,$B10)*$D10^5+SUMIFS(Table3!$H:$H,Table3!$A:$A,$B10)*$D10^4+SUMIFS(Table3!$I:$I,Table3!$A:$A,$B10)*$D10^3+SUMIFS(Table3!$J:$J,Table3!$A:$A,$B10)*$D10^2+SUMIFS(Table3!$K:$K,Table3!$A:$A,$B10)*$D10)+SUMIFS(Table3!$L:$L,Table3!$A:$A,$B10)*LOG10($D10)+SUMIFS(Table3!$M:$M,Table3!$A:$A,$B10)*LOG10($F10)+SUMIFS(Table3!$N:$N,Table3!$A:$A,$B10)*LOG10(J10)+LOG10(1/$AD10))</f>
        <v>11.285537554919106</v>
      </c>
      <c r="AG10" s="39">
        <f>(12.552/50)*Q10*10^(SUMIFS(Table4!$B:$B,Table4!$A:$A,$B10)+SUMIFS(Table4!$C:$C,Table4!$A:$A,$B10)*LOG10($E10)+SUMIFS(Table4!$D:$D,Table4!$A:$A,$B10)*K10/(SUMIFS(Table4!$E:$E,Table4!$A:$A,$B10)*$D10^7+SUMIFS(Table4!$F:$F,Table4!$A:$A,$B10)*$D10^6+SUMIFS(Table4!$G:$G,Table4!$A:$A,$B10)*$D10^5+SUMIFS(Table4!$H:$H,Table4!$A:$A,$B10)*$D10^4+SUMIFS(Table4!$I:$I,Table4!$A:$A,$B10)*$D10^3+SUMIFS(Table4!$J:$J,Table4!$A:$A,$B10)*$D10^2+SUMIFS(Table4!$K:$K,Table4!$A:$A,$B10)*$D10)+SUMIFS(Table4!$L:$L,Table4!$A:$A,$B10)*LOG10($D10)+SUMIFS(Table4!$M:$M,Table4!$A:$A,$B10)*LOG10($F10)+SUMIFS(Table4!$N:$N,Table4!$A:$A,$B10)*LOG10(K10)+LOG10(1/$AD10))</f>
        <v>19.037983558394536</v>
      </c>
      <c r="AH10" s="39">
        <f>(12.552/50)*Q10*10^(SUMIFS(Table5!$B:$B,Table5!$A:$A,$B10)+SUMIFS(Table5!$C:$C,Table5!$A:$A,$B10)*LOG10($E10)+SUMIFS(Table5!$D:$D,Table5!$A:$A,$B10)*L10/(SUMIFS(Table5!$E:$E,Table5!$A:$A,$B10)*$D10^7+SUMIFS(Table5!$F:$F,Table5!$A:$A,$B10)*$D10^6+SUMIFS(Table5!$G:$G,Table5!$A:$A,$B10)*$D10^5+SUMIFS(Table5!$H:$H,Table5!$A:$A,$B10)*$D10^4+SUMIFS(Table5!$I:$I,Table5!$A:$A,$B10)*$D10^3+SUMIFS(Table5!$J:$J,Table5!$A:$A,$B10)*$D10^2+SUMIFS(Table5!$K:$K,Table5!$A:$A,$B10)*$D10)+SUMIFS(Table5!$L:$L,Table5!$A:$A,$B10)*LOG10($D10)+SUMIFS(Table5!$M:$M,Table5!$A:$A,$B10)*LOG10($F10)+SUMIFS(Table5!$N:$N,Table5!$A:$A,$B10)*LOG10(L10)+LOG10(1/$AD10))</f>
        <v>25.551484295305848</v>
      </c>
      <c r="AI10" s="39">
        <f t="shared" ref="AI10:AI22" si="28">((AG10-AF10)/2.1)*($C10-2.7)+AG10</f>
        <v>60.015198148193242</v>
      </c>
      <c r="AJ10" s="39">
        <f t="shared" ref="AJ10:AJ22" si="29">((AH10-AG10)/11.6)*($C10-14.3)+AH10</f>
        <v>25.270729953197602</v>
      </c>
      <c r="AK10" s="39">
        <f t="shared" ref="AK10:AK22" si="30">AI10*(2.7-$C10)/2.1+AJ10*($C10-0.6)/2.1</f>
        <v>-158.37860193463655</v>
      </c>
      <c r="AL10" s="40">
        <f t="shared" ref="AL10:AL22" si="31">IF(AND($C10&gt;=0.208,$C10&lt;=0.6),AE10,IF($C10&lt;=2.7,AK10,AJ10))</f>
        <v>25.270729953197602</v>
      </c>
      <c r="AM10" s="42">
        <f>10^((SUMIFS(Table3!$B:$B,Table3!$A:$A,$B10)+SUMIFS(Table3!$C:$C,Table3!$A:$A,$B10)*LOG10($E10)+(SUMIFS(Table3!$D:$D,Table3!$A:$A,$B10)*$J10)/(SUMIFS(Table3!$E:$E,Table3!$A:$A,$B10)*$D10^7+SUMIFS(Table3!$F:$F,Table3!$A:$A,$B10)*$D10^6+SUMIFS(Table3!$G:$G,Table3!$A:$A,$B10)*$D10^5+SUMIFS(Table3!$H:$H,Table3!$A:$A,$B10)*$D10^4+SUMIFS(Table3!$I:$I,Table3!$A:$A,$B10)*$D10^3+SUMIFS(Table3!$J:$J,Table3!$A:$A,$B10)*$D10^2+SUMIFS(Table3!$K:$K,Table3!$A:$A,$B10)*$D10)+SUMIFS(Table3!$L:$L,Table3!$A:$A,$B10)*LOG10($D10)+SUMIFS(Table3!$N:$N,Table3!$A:$A,$B10)*LOG10(P10)+LOG10(1/$AD10)-LOG10(20/Q10))/-SUMIFS(Table3!$M:$M,Table3!$A:$A,$B10))</f>
        <v>1610.702899047531</v>
      </c>
      <c r="AN10" s="42">
        <f>10^((SUMIFS(Table3!$B:$B,Table3!$A:$A,$B10)+SUMIFS(Table3!$C:$C,Table3!$A:$A,$B10)*LOG10($E10)+(SUMIFS(Table3!$D:$D,Table3!$A:$A,$B10)*J10)/(SUMIFS(Table3!$E:$E,Table3!$A:$A,$B10)*$D10^7+SUMIFS(Table3!$F:$F,Table3!$A:$A,$B10)*$D10^6+SUMIFS(Table3!$G:$G,Table3!$A:$A,$B10)*$D10^5+SUMIFS(Table3!$H:$H,Table3!$A:$A,$B10)*$D10^4+SUMIFS(Table3!$I:$I,Table3!$A:$A,$B10)*$D10^3+SUMIFS(Table3!$J:$J,Table3!$A:$A,$B10)*$D10^2+SUMIFS(Table3!$K:$K,Table3!$A:$A,$B10)*$D10)+SUMIFS(Table3!$L:$L,Table3!$A:$A,$B10)*LOG10($D10)+SUMIFS(Table3!$N:$N,Table3!$A:$A,$B10)*LOG10(J10)+LOG10(1/$AD10)-LOG10(20/Q10))/-SUMIFS(Table3!$M:$M,Table3!$A:$A,$B10))</f>
        <v>1430.8044776121608</v>
      </c>
      <c r="AO10" s="42">
        <f>10^((SUMIFS(Table4!$B:$B,Table4!$A:$A,$B10)+SUMIFS(Table4!$C:$C,Table4!$A:$A,$B10)*LOG10($E10)+(SUMIFS(Table4!$D:$D,Table4!$A:$A,$B10)*K10)/(SUMIFS(Table4!$E:$E,Table4!$A:$A,$B10)*$D10^7+SUMIFS(Table4!$F:$F,Table4!$A:$A,$B10)*$D10^6+SUMIFS(Table4!$G:$G,Table4!$A:$A,$B10)*$D10^5+SUMIFS(Table4!$H:$H,Table4!$A:$A,$B10)*$D10^4+SUMIFS(Table4!$I:$I,Table4!$A:$A,$B10)*$D10^3+SUMIFS(Table4!$J:$J,Table4!$A:$A,$B10)*$D10^2+SUMIFS(Table4!$K:$K,Table4!$A:$A,$B10)*$D10)+SUMIFS(Table4!$L:$L,Table4!$A:$A,$B10)*LOG10($D10)+SUMIFS(Table4!$N:$N,Table4!$A:$A,$B10)*LOG10(K10)+LOG10(1/$AD10)-LOG10(20/Q10))/-SUMIFS(Table4!$M:$M,Table4!$A:$A,$B10))</f>
        <v>1965.2850689187724</v>
      </c>
      <c r="AP10" s="42">
        <f>10^((SUMIFS(Table5!$B:$B,Table5!$A:$A,$B10)+SUMIFS(Table5!$C:$C,Table5!$A:$A,$B10)*LOG10($E10)+(SUMIFS(Table5!$D:$D,Table5!$A:$A,$B10)*L10)/(SUMIFS(Table5!$E:$E,Table5!$A:$A,$B10)*$D10^7+SUMIFS(Table5!$F:$F,Table5!$A:$A,$B10)*$D10^6+SUMIFS(Table5!$G:$G,Table5!$A:$A,$B10)*$D10^5+SUMIFS(Table5!$H:$H,Table5!$A:$A,$B10)*$D10^4+SUMIFS(Table5!$I:$I,Table5!$A:$A,$B10)*$D10^3+SUMIFS(Table5!$J:$J,Table5!$A:$A,$B10)*$D10^2+SUMIFS(Table5!$K:$K,Table5!$A:$A,$B10)*$D10)+SUMIFS(Table5!$L:$L,Table5!$A:$A,$B10)*LOG10($D10)+SUMIFS(Table5!$N:$N,Table5!$A:$A,$B10)*LOG10(L10)+LOG10(1/$AD10)-LOG10(20/Q10))/-SUMIFS(Table5!$M:$M,Table5!$A:$A,$B10))</f>
        <v>2412.7350273389666</v>
      </c>
      <c r="AQ10" s="42">
        <f t="shared" ref="AQ10:AQ22" si="32">((AO10-AN10)/2.1)*($C10-2.7)+AO10</f>
        <v>4790.3967658251486</v>
      </c>
      <c r="AR10" s="42">
        <f t="shared" ref="AR10:AR22" si="33">((AP10-AO10)/11.6)*($C10-14.3)+AP10</f>
        <v>2393.4483912001651</v>
      </c>
      <c r="AS10" s="42">
        <f t="shared" ref="AS10:AS22" si="34">(AQ10*(2.7-$C10)/2.1)+(AR10*($C10-0.6)/2.1)</f>
        <v>-10276.13587467475</v>
      </c>
      <c r="AT10" s="43">
        <f t="shared" ref="AT10:AT22" si="35">IF(AND($C10&gt;=0.208,$C10&lt;=0.6),AM10,IF($C10&lt;=2.7,AS10,AR10))</f>
        <v>2393.4483912001651</v>
      </c>
      <c r="AU10" s="39">
        <f>SUMIFS(Table2!$B:$B,Table2!$A:$A,$B10)*$C10^6+SUMIFS(Table2!$C:$C,Table2!$A:$A,$B10)*$C10^5+SUMIFS(Table2!$D:$D,Table2!$A:$A,$B10)*$C10^4+SUMIFS(Table2!$E:$E,Table2!$A:$A,$B10)*$C10^3+SUMIFS(Table2!$F:$F,Table2!$A:$A,$B10)*$C10^2+SUMIFS(Table2!$G:$G,Table2!$A:$A,$B10)*$C10+SUMIFS(Table2!$H:$H,Table2!$A:$A,$B10)</f>
        <v>3.7875332503227943E-2</v>
      </c>
      <c r="AV10" s="39">
        <f t="shared" ref="AV10:AV22" si="36">1-0.5*AU10</f>
        <v>0.98106233374838603</v>
      </c>
      <c r="AW10" s="39">
        <f t="shared" ref="AW10:AW22" si="37">J10*$AV10</f>
        <v>13.731192005652854</v>
      </c>
      <c r="AX10" s="39">
        <f t="shared" ref="AX10:AX22" si="38">K10*$AV10</f>
        <v>15.179612163566237</v>
      </c>
      <c r="AY10" s="39">
        <f t="shared" ref="AY10:AY22" si="39">L10*$AV10</f>
        <v>16.496635730160204</v>
      </c>
      <c r="AZ10" s="39">
        <f t="shared" ref="AZ10:AZ22" si="40">((AX10-AW10)/2.1)*($C10-2.7)+AX10</f>
        <v>22.835547283965546</v>
      </c>
      <c r="BA10" s="39">
        <f t="shared" ref="BA10:BA22" si="41">((AY10-AX10)/11.6)*($C10-14.3)+AY10</f>
        <v>16.439867472979429</v>
      </c>
      <c r="BB10" s="39">
        <f t="shared" ref="BB10:BB22" si="42">(AZ10*(2.7-$C10)/2.1)+(BA10*($C10-0.6)/2.1)</f>
        <v>-17.365868670804318</v>
      </c>
      <c r="BC10" s="40">
        <f t="shared" ref="BC10:BC22" si="43">IF(AND($C10&gt;=0.208,$C10&lt;=0.6),1/SQRT((0.6/$C10)^2*(1/(J10)^2-(0.6^2-($C10)^2)/(0.6^2*($D10)^2)))*AV10,IF(AND($C10&gt;0.6,$C10&lt;=2.7),BB10,IF($C10&gt;2.7,BA10,"Erro")))</f>
        <v>16.439867472979429</v>
      </c>
      <c r="BD10" s="41">
        <v>180</v>
      </c>
      <c r="BE10" s="39">
        <f>(12.552/50)*BD10*10^(SUMIFS(Table3!$B:$B,Table3!$A:$A,$B10)+SUMIFS(Table3!$C:$C,Table3!$A:$A,$B10)*LOG10($E10)+SUMIFS(Table3!$D:$D,Table3!$A:$A,$B10)*$J10/(SUMIFS(Table3!$E:$E,Table3!$A:$A,$B10)*$D10^7+SUMIFS(Table3!$F:$F,Table3!$A:$A,$B10)*$D10^6+SUMIFS(Table3!$G:$G,Table3!$A:$A,$B10)*$D10^5+SUMIFS(Table3!$H:$H,Table3!$A:$A,$B10)*$D10^4+SUMIFS(Table3!$I:$I,Table3!$A:$A,$B10)*$D10^3+SUMIFS(Table3!$J:$J,Table3!$A:$A,$B10)*$D10^2+SUMIFS(Table3!$K:$K,Table3!$A:$A,$B10)*$D10)+SUMIFS(Table3!$L:$L,Table3!$A:$A,$B10)*LOG10($D10)+SUMIFS(Table3!$M:$M,Table3!$A:$A,$B10)*LOG10($F10)+SUMIFS(Table3!$N:$N,Table3!$A:$A,$B10)*LOG10(BC10)+LOG10(1/$AD10))</f>
        <v>13.667446817872024</v>
      </c>
      <c r="BF10" s="39">
        <f>(12.552/50)*BD10*10^(SUMIFS(Table3!$B:$B,Table3!$A:$A,$B10)+SUMIFS(Table3!$C:$C,Table3!$A:$A,$B10)*LOG10($E10)+SUMIFS(Table3!$D:$D,Table3!$A:$A,$B10)*AW10/(SUMIFS(Table3!$E:$E,Table3!$A:$A,$B10)*$D10^7+SUMIFS(Table3!$F:$F,Table3!$A:$A,$B10)*$D10^6+SUMIFS(Table3!$G:$G,Table3!$A:$A,$B10)*$D10^5+SUMIFS(Table3!$H:$H,Table3!$A:$A,$B10)*$D10^4+SUMIFS(Table3!$I:$I,Table3!$A:$A,$B10)*$D10^3+SUMIFS(Table3!$J:$J,Table3!$A:$A,$B10)*$D10^2+SUMIFS(Table3!$K:$K,Table3!$A:$A,$B10)*$D10)+SUMIFS(Table3!$L:$L,Table3!$A:$A,$B10)*LOG10($D10)+SUMIFS(Table3!$M:$M,Table3!$A:$A,$B10)*LOG10($F10)+SUMIFS(Table3!$N:$N,Table3!$A:$A,$B10)*LOG10(AW10)+LOG10(1/$AD10))</f>
        <v>11.065009723527982</v>
      </c>
      <c r="BG10" s="39">
        <f>(12.552/50)*BD10*10^(SUMIFS(Table4!$B:$B,Table4!$A:$A,$B10)+SUMIFS(Table4!$C:$C,Table4!$A:$A,$B10)*LOG10($E10)+SUMIFS(Table4!$D:$D,Table4!$A:$A,$B10)*AX10/(SUMIFS(Table4!$E:$E,Table4!$A:$A,$B10)*$D10^7+SUMIFS(Table4!$F:$F,Table4!$A:$A,$B10)*$D10^6+SUMIFS(Table4!$G:$G,Table4!$A:$A,$B10)*$D10^5+SUMIFS(Table4!$H:$H,Table4!$A:$A,$B10)*$D10^4+SUMIFS(Table4!$I:$I,Table4!$A:$A,$B10)*$D10^3+SUMIFS(Table4!$J:$J,Table4!$A:$A,$B10)*$D10^2+SUMIFS(Table4!$K:$K,Table4!$A:$A,$B10)*$D10)+SUMIFS(Table4!$L:$L,Table4!$A:$A,$B10)*LOG10($D10)+SUMIFS(Table4!$M:$M,Table4!$A:$A,$B10)*LOG10($F10)+SUMIFS(Table4!$N:$N,Table4!$A:$A,$B10)*LOG10(AX10)+LOG10(1/$AD10))</f>
        <v>19.211786570660941</v>
      </c>
      <c r="BH10" s="39">
        <f>(12.552/50)*BD10*10^(SUMIFS(Table5!$B:$B,Table5!$A:$A,$B10)+SUMIFS(Table5!$C:$C,Table5!$A:$A,$B10)*LOG10($E10)+SUMIFS(Table5!$D:$D,Table5!$A:$A,$B10)*AY10/(SUMIFS(Table5!$E:$E,Table5!$A:$A,$B10)*$D10^7+SUMIFS(Table5!$F:$F,Table5!$A:$A,$B10)*$D10^6+SUMIFS(Table5!$G:$G,Table5!$A:$A,$B10)*$D10^5+SUMIFS(Table5!$H:$H,Table5!$A:$A,$B10)*$D10^4+SUMIFS(Table5!$I:$I,Table5!$A:$A,$B10)*$D10^3+SUMIFS(Table5!$J:$J,Table5!$A:$A,$B10)*$D10^2+SUMIFS(Table5!$K:$K,Table5!$A:$A,$B10)*$D10)+SUMIFS(Table5!$L:$L,Table5!$A:$A,$B10)*LOG10($D10)+SUMIFS(Table5!$M:$M,Table5!$A:$A,$B10)*LOG10($F10)+SUMIFS(Table5!$N:$N,Table5!$A:$A,$B10)*LOG10(AY10)+LOG10(1/$AD10))</f>
        <v>25.694629488027473</v>
      </c>
      <c r="BI10" s="39">
        <f t="shared" ref="BI10:BI22" si="44">((BG10-BF10)/2.1)*($C10-2.7)+BG10</f>
        <v>62.273321334078005</v>
      </c>
      <c r="BJ10" s="39">
        <f t="shared" ref="BJ10:BJ22" si="45">((BH10-BG10)/11.6)*($C10-14.3)+BH10</f>
        <v>25.415196603658227</v>
      </c>
      <c r="BK10" s="39">
        <f t="shared" ref="BK10:BK22" si="46">BI10*(2.7-$C10)/2.1+BJ10*($C10-0.6)/2.1</f>
        <v>-169.40631982856058</v>
      </c>
      <c r="BL10" s="40">
        <f t="shared" ref="BL10:BL22" si="47">IF(AND($C10&gt;=0.208,$C10&lt;=0.6),BE10,IF($C10&lt;=2.7,BK10,BJ10))</f>
        <v>25.415196603658227</v>
      </c>
      <c r="BM10" s="42">
        <f>10^((SUMIFS(Table3!$B:$B,Table3!$A:$A,$B10)+SUMIFS(Table3!$C:$C,Table3!$A:$A,$B10)*LOG10($E10)+(SUMIFS(Table3!$D:$D,Table3!$A:$A,$B10)*$J10)/(SUMIFS(Table3!$E:$E,Table3!$A:$A,$B10)*$D10^7+SUMIFS(Table3!$F:$F,Table3!$A:$A,$B10)*$D10^6+SUMIFS(Table3!$G:$G,Table3!$A:$A,$B10)*$D10^5+SUMIFS(Table3!$H:$H,Table3!$A:$A,$B10)*$D10^4+SUMIFS(Table3!$I:$I,Table3!$A:$A,$B10)*$D10^3+SUMIFS(Table3!$J:$J,Table3!$A:$A,$B10)*$D10^2+SUMIFS(Table3!$K:$K,Table3!$A:$A,$B10)*$D10)+SUMIFS(Table3!$L:$L,Table3!$A:$A,$B10)*LOG10($D10)+SUMIFS(Table3!$N:$N,Table3!$A:$A,$B10)*LOG10(BC10)+LOG10(1/$AD10)-LOG10(20/BD10))/-SUMIFS(Table3!$M:$M,Table3!$A:$A,$B10))</f>
        <v>1590.5718150447065</v>
      </c>
      <c r="BN10" s="42">
        <f>10^((SUMIFS(Table3!$B:$B,Table3!$A:$A,$B10)+SUMIFS(Table3!$C:$C,Table3!$A:$A,$B10)*LOG10($E10)+(SUMIFS(Table3!$D:$D,Table3!$A:$A,$B10)*AW10)/(SUMIFS(Table3!$E:$E,Table3!$A:$A,$B10)*$D10^7+SUMIFS(Table3!$F:$F,Table3!$A:$A,$B10)*$D10^6+SUMIFS(Table3!$G:$G,Table3!$A:$A,$B10)*$D10^5+SUMIFS(Table3!$H:$H,Table3!$A:$A,$B10)*$D10^4+SUMIFS(Table3!$I:$I,Table3!$A:$A,$B10)*$D10^3+SUMIFS(Table3!$J:$J,Table3!$A:$A,$B10)*$D10^2+SUMIFS(Table3!$K:$K,Table3!$A:$A,$B10)*$D10)+SUMIFS(Table3!$L:$L,Table3!$A:$A,$B10)*LOG10($D10)+SUMIFS(Table3!$N:$N,Table3!$A:$A,$B10)*LOG10(AW10)+LOG10(1/$AD10)-LOG10(20/BD10))/-SUMIFS(Table3!$M:$M,Table3!$A:$A,$B10))</f>
        <v>1415.2808085686759</v>
      </c>
      <c r="BO10" s="42">
        <f>10^((SUMIFS(Table4!$B:$B,Table4!$A:$A,$B10)+SUMIFS(Table4!$C:$C,Table4!$A:$A,$B10)*LOG10($E10)+(SUMIFS(Table4!$D:$D,Table4!$A:$A,$B10)*AX10)/(SUMIFS(Table4!$E:$E,Table4!$A:$A,$B10)*$D10^7+SUMIFS(Table4!$F:$F,Table4!$A:$A,$B10)*$D10^6+SUMIFS(Table4!$G:$G,Table4!$A:$A,$B10)*$D10^5+SUMIFS(Table4!$H:$H,Table4!$A:$A,$B10)*$D10^4+SUMIFS(Table4!$I:$I,Table4!$A:$A,$B10)*$D10^3+SUMIFS(Table4!$J:$J,Table4!$A:$A,$B10)*$D10^2+SUMIFS(Table4!$K:$K,Table4!$A:$A,$B10)*$D10)+SUMIFS(Table4!$L:$L,Table4!$A:$A,$B10)*LOG10($D10)+SUMIFS(Table4!$N:$N,Table4!$A:$A,$B10)*LOG10(AX10)+LOG10(1/$AD10)-LOG10(20/BD10))/-SUMIFS(Table4!$M:$M,Table4!$A:$A,$B10))</f>
        <v>1975.564573591168</v>
      </c>
      <c r="BP10" s="42">
        <f>10^((SUMIFS(Table5!$B:$B,Table5!$A:$A,$B10)+SUMIFS(Table5!$C:$C,Table5!$A:$A,$B10)*LOG10($E10)+(SUMIFS(Table5!$D:$D,Table5!$A:$A,$B10)*AY10)/(SUMIFS(Table5!$E:$E,Table5!$A:$A,$B10)*$D10^7+SUMIFS(Table5!$F:$F,Table5!$A:$A,$B10)*$D10^6+SUMIFS(Table5!$G:$G,Table5!$A:$A,$B10)*$D10^5+SUMIFS(Table5!$H:$H,Table5!$A:$A,$B10)*$D10^4+SUMIFS(Table5!$I:$I,Table5!$A:$A,$B10)*$D10^3+SUMIFS(Table5!$J:$J,Table5!$A:$A,$B10)*$D10^2+SUMIFS(Table5!$K:$K,Table5!$A:$A,$B10)*$D10)+SUMIFS(Table5!$L:$L,Table5!$A:$A,$B10)*LOG10($D10)+SUMIFS(Table5!$N:$N,Table5!$A:$A,$B10)*LOG10(AY10)+LOG10(1/$AD10)-LOG10(20/BD10))/-SUMIFS(Table5!$M:$M,Table5!$A:$A,$B10))</f>
        <v>2420.7859769132465</v>
      </c>
      <c r="BQ10" s="42">
        <f t="shared" ref="BQ10:BQ22" si="48">((BO10-BN10)/2.1)*($C10-2.7)+BO10</f>
        <v>4937.0644744243418</v>
      </c>
      <c r="BR10" s="42">
        <f t="shared" ref="BR10:BR22" si="49">((BP10-BO10)/11.6)*($C10-14.3)+BP10</f>
        <v>2401.5953991838464</v>
      </c>
      <c r="BS10" s="42">
        <f t="shared" ref="BS10:BS22" si="50">(BQ10*(2.7-$C10)/2.1)+(BR10*($C10-0.6)/2.1)</f>
        <v>-11000.169712801631</v>
      </c>
      <c r="BT10" s="43">
        <f t="shared" ref="BT10:BT22" si="51">IF(AND($C10&gt;=0.208,$C10&lt;=0.6),BM10,IF($C10&lt;=2.7,BS10,BR10))</f>
        <v>2401.5953991838464</v>
      </c>
    </row>
    <row r="11" spans="1:72" x14ac:dyDescent="0.2">
      <c r="A11" s="46" t="s">
        <v>178</v>
      </c>
      <c r="B11" s="76" t="s">
        <v>13</v>
      </c>
      <c r="C11" s="41">
        <v>13.8</v>
      </c>
      <c r="D11" s="41">
        <v>19.776</v>
      </c>
      <c r="E11" s="41">
        <v>153</v>
      </c>
      <c r="F11" s="41">
        <v>914.4</v>
      </c>
      <c r="G11" s="41">
        <v>800</v>
      </c>
      <c r="H11" s="41">
        <v>1135</v>
      </c>
      <c r="I11" s="41">
        <v>900</v>
      </c>
      <c r="J11" s="39">
        <f>10^(SUMIFS(Table1!$C:$C,Table1!$B:$B,600,Table1!$A:$A,$B11)+SUMIFS(Table1!$D:$D,Table1!$B:$B,600,Table1!$A:$A,$B11)*LOG10($D11)+SUMIFS(Table1!$E:$E,Table1!$B:$B,600,Table1!$A:$A,$B11)*LOG10($E11))*(SUMIFS(Table1!$F:$F,Table1!$B:$B,600,Table1!$A:$A,$B11)*$D11^6+SUMIFS(Table1!$G:$G,Table1!$B:$B,600,Table1!$A:$A,$B11)*$D11^5+SUMIFS(Table1!$H:$H,Table1!$B:$B,600,Table1!$A:$A,$B11)*$D11^4+SUMIFS(Table1!$I:$I,Table1!$B:$B,600,Table1!$A:$A,$B11)*$D11^3+SUMIFS(Table1!$J:$J,Table1!$B:$B,600,Table1!$A:$A,$B11)*$D11^2+SUMIFS(Table1!$K:$K,Table1!$B:$B,600,Table1!$A:$A,$B11)*$D11+SUMIFS(Table1!$L:$L,Table1!$B:$B,600,Table1!$A:$A,$B11))</f>
        <v>15.773786716768626</v>
      </c>
      <c r="K11" s="39">
        <f>10^(SUMIFS(Table1!$C:$C,Table1!$B:$B,2700,Table1!$A:$A,$B11)+SUMIFS(Table1!$D:$D,Table1!$B:$B,2700,Table1!$A:$A,$B11)*LOG10($D11)+SUMIFS(Table1!$E:$E,Table1!$B:$B,2700,Table1!$A:$A,$B11)*LOG10($E11))*(SUMIFS(Table1!$F:$F,Table1!$B:$B,2700,Table1!$A:$A,$B11)*$D11^6+SUMIFS(Table1!$G:$G,Table1!$B:$B,2700,Table1!$A:$A,$B11)*$D11^5+SUMIFS(Table1!$H:$H,Table1!$B:$B,2700,Table1!$A:$A,$B11)*$D11^4+SUMIFS(Table1!$I:$I,Table1!$B:$B,2700,Table1!$A:$A,$B11)*$D11^3+SUMIFS(Table1!$J:$J,Table1!$B:$B,2700,Table1!$A:$A,$B11)*$D11^2+SUMIFS(Table1!$K:$K,Table1!$B:$B,2700,Table1!$A:$A,$B11)*$D11+SUMIFS(Table1!$L:$L,Table1!$B:$B,2700,Table1!$A:$A,$B11))</f>
        <v>17.376934384726702</v>
      </c>
      <c r="L11" s="39">
        <f>10^(SUMIFS(Table1!$C:$C,Table1!$B:$B,14300,Table1!$A:$A,$B11)+SUMIFS(Table1!$D:$D,Table1!$B:$B,14300,Table1!$A:$A,$B11)*LOG10($D11)+SUMIFS(Table1!$E:$E,Table1!$B:$B,14300,Table1!$A:$A,$B11)*LOG10($E11))*(SUMIFS(Table1!$F:$F,Table1!$B:$B,14300,Table1!$A:$A,$B11)*$D11^6+SUMIFS(Table1!$G:$G,Table1!$B:$B,14300,Table1!$A:$A,$B11)*$D11^5+SUMIFS(Table1!$H:$H,Table1!$B:$B,14300,Table1!$A:$A,$B11)*$D11^4+SUMIFS(Table1!$I:$I,Table1!$B:$B,14300,Table1!$A:$A,$B11)*$D11^3+SUMIFS(Table1!$J:$J,Table1!$B:$B,14300,Table1!$A:$A,$B11)*$D11^2+SUMIFS(Table1!$K:$K,Table1!$B:$B,14300,Table1!$A:$A,$B11)*$D11+SUMIFS(Table1!$L:$L,Table1!$B:$B,14300,Table1!$A:$A,$B11))</f>
        <v>18.91825027614388</v>
      </c>
      <c r="M11" s="39">
        <f t="shared" si="0"/>
        <v>25.85071491536225</v>
      </c>
      <c r="N11" s="39">
        <f t="shared" si="1"/>
        <v>18.851814246341416</v>
      </c>
      <c r="O11" s="39">
        <f t="shared" si="2"/>
        <v>-18.142375004197291</v>
      </c>
      <c r="P11" s="40">
        <f>IF(AND($C11&gt;=0.208,$C11&lt;=0.6),1/SQRT((0.6/$C11)^2*(1/(J11)^2-(0.6^2-($C11)^2)/(0.6^2*($D11)^2))),IF(AND($C11&gt;0.6,$C11&lt;=2.7),O11,IF($C11&gt;2.7,N11,"Errado")))</f>
        <v>18.851814246341416</v>
      </c>
      <c r="Q11" s="41">
        <v>180</v>
      </c>
      <c r="R11" s="45" t="str">
        <f t="shared" si="3"/>
        <v>Typical</v>
      </c>
      <c r="S11" s="36">
        <f t="shared" si="4"/>
        <v>10</v>
      </c>
      <c r="T11" s="36">
        <f t="shared" si="5"/>
        <v>24</v>
      </c>
      <c r="U11" s="36">
        <f t="shared" si="6"/>
        <v>800</v>
      </c>
      <c r="V11" s="36">
        <f>(660.4+($U11-660.4)*($C11+$S11)/$T11)*(1/25.4)</f>
        <v>31.450262467191603</v>
      </c>
      <c r="W11" s="36">
        <f t="shared" si="7"/>
        <v>1135</v>
      </c>
      <c r="X11" s="36">
        <f>(660.4+($W11-660.4)*($C11+$S11)/$T11)*(1/25.4)</f>
        <v>44.529330708661419</v>
      </c>
      <c r="Y11" s="37">
        <f>IF($G11&lt;508,IF($R11="Typical",20,0.03937*$G11),IF($G11&lt;=660.4,0.03937*$G11,IF($G11&lt;=1244.6,$V11,$V11)))</f>
        <v>31.450262467191603</v>
      </c>
      <c r="Z11" s="37">
        <f>IF($H11&lt;508,IF($R11="Typical",20,0.03937*$H11),IF($H11&lt;=660.4,0.03937*$H11,IF($H11&lt;=1244.6,IF($B11="VCB",0.03937*$H11,$X11),IF($B11="VCB",49,$X11))))</f>
        <v>44.529330708661419</v>
      </c>
      <c r="AA11" s="39">
        <f>(Z11+Y11)/2</f>
        <v>37.989796587926513</v>
      </c>
      <c r="AB11" s="38">
        <f>SUMIFS(Table7!C:C,Table7!A:A,"Typical",Table7!B:B,$B11)*$AA11^2+SUMIFS(Table7!D:D,Table7!A:A,"Typical",Table7!B:B,$B11)*$AA11+SUMIFS(Table7!E:E,Table7!A:A,"Typical",Table7!B:B,$B11)</f>
        <v>1.2651698365235395</v>
      </c>
      <c r="AC11" s="38">
        <f>1/(SUMIFS(Table7!C:C,Table7!A:A,"Shallow",Table7!B:B,$B11)*$AA11^2+SUMIFS(Table7!D:D,Table7!A:A,"Shallow",Table7!B:B,$B11)*$AA11+SUMIFS(Table7!E:E,Table7!A:A,"Shallow",Table7!B:B,$B11))</f>
        <v>4.017618876004966</v>
      </c>
      <c r="AD11" s="39">
        <f>IF(R11="Typical",AB11,AC11)</f>
        <v>1.2651698365235395</v>
      </c>
      <c r="AE11" s="39">
        <f>(12.552/50)*Q11*10^(SUMIFS(Table3!$B:$B,Table3!$A:$A,$B11)+SUMIFS(Table3!$C:$C,Table3!$A:$A,$B11)*LOG10($E11)+SUMIFS(Table3!$D:$D,Table3!$A:$A,$B11)*$J11/(SUMIFS(Table3!$E:$E,Table3!$A:$A,$B11)*$D11^7+SUMIFS(Table3!$F:$F,Table3!$A:$A,$B11)*$D11^6+SUMIFS(Table3!$G:$G,Table3!$A:$A,$B11)*$D11^5+SUMIFS(Table3!$H:$H,Table3!$A:$A,$B11)*$D11^4+SUMIFS(Table3!$I:$I,Table3!$A:$A,$B11)*$D11^3+SUMIFS(Table3!$J:$J,Table3!$A:$A,$B11)*$D11^2+SUMIFS(Table3!$K:$K,Table3!$A:$A,$B11)*$D11)+SUMIFS(Table3!$L:$L,Table3!$A:$A,$B11)*LOG10($D11)+SUMIFS(Table3!$M:$M,Table3!$A:$A,$B11)*LOG10($F11)+SUMIFS(Table3!$N:$N,Table3!$A:$A,$B11)*LOG10(P11)+LOG10(1/$AD11))</f>
        <v>15.977555360613611</v>
      </c>
      <c r="AF11" s="39">
        <f>(12.552/50)*Q11*10^(SUMIFS(Table3!$B:$B,Table3!$A:$A,$B11)+SUMIFS(Table3!$C:$C,Table3!$A:$A,$B11)*LOG10($E11)+SUMIFS(Table3!$D:$D,Table3!$A:$A,$B11)*J11/(SUMIFS(Table3!$E:$E,Table3!$A:$A,$B11)*$D11^7+SUMIFS(Table3!$F:$F,Table3!$A:$A,$B11)*$D11^6+SUMIFS(Table3!$G:$G,Table3!$A:$A,$B11)*$D11^5+SUMIFS(Table3!$H:$H,Table3!$A:$A,$B11)*$D11^4+SUMIFS(Table3!$I:$I,Table3!$A:$A,$B11)*$D11^3+SUMIFS(Table3!$J:$J,Table3!$A:$A,$B11)*$D11^2+SUMIFS(Table3!$K:$K,Table3!$A:$A,$B11)*$D11)+SUMIFS(Table3!$L:$L,Table3!$A:$A,$B11)*LOG10($D11)+SUMIFS(Table3!$M:$M,Table3!$A:$A,$B11)*LOG10($F11)+SUMIFS(Table3!$N:$N,Table3!$A:$A,$B11)*LOG10(J11)+LOG10(1/$AD11))</f>
        <v>12.923611014607943</v>
      </c>
      <c r="AG11" s="39">
        <f>(12.552/50)*Q11*10^(SUMIFS(Table4!$B:$B,Table4!$A:$A,$B11)+SUMIFS(Table4!$C:$C,Table4!$A:$A,$B11)*LOG10($E11)+SUMIFS(Table4!$D:$D,Table4!$A:$A,$B11)*K11/(SUMIFS(Table4!$E:$E,Table4!$A:$A,$B11)*$D11^7+SUMIFS(Table4!$F:$F,Table4!$A:$A,$B11)*$D11^6+SUMIFS(Table4!$G:$G,Table4!$A:$A,$B11)*$D11^5+SUMIFS(Table4!$H:$H,Table4!$A:$A,$B11)*$D11^4+SUMIFS(Table4!$I:$I,Table4!$A:$A,$B11)*$D11^3+SUMIFS(Table4!$J:$J,Table4!$A:$A,$B11)*$D11^2+SUMIFS(Table4!$K:$K,Table4!$A:$A,$B11)*$D11)+SUMIFS(Table4!$L:$L,Table4!$A:$A,$B11)*LOG10($D11)+SUMIFS(Table4!$M:$M,Table4!$A:$A,$B11)*LOG10($F11)+SUMIFS(Table4!$N:$N,Table4!$A:$A,$B11)*LOG10(K11)+LOG10(1/$AD11))</f>
        <v>21.625889659203622</v>
      </c>
      <c r="AH11" s="39">
        <f>(12.552/50)*Q11*10^(SUMIFS(Table5!$B:$B,Table5!$A:$A,$B11)+SUMIFS(Table5!$C:$C,Table5!$A:$A,$B11)*LOG10($E11)+SUMIFS(Table5!$D:$D,Table5!$A:$A,$B11)*L11/(SUMIFS(Table5!$E:$E,Table5!$A:$A,$B11)*$D11^7+SUMIFS(Table5!$F:$F,Table5!$A:$A,$B11)*$D11^6+SUMIFS(Table5!$G:$G,Table5!$A:$A,$B11)*$D11^5+SUMIFS(Table5!$H:$H,Table5!$A:$A,$B11)*$D11^4+SUMIFS(Table5!$I:$I,Table5!$A:$A,$B11)*$D11^3+SUMIFS(Table5!$J:$J,Table5!$A:$A,$B11)*$D11^2+SUMIFS(Table5!$K:$K,Table5!$A:$A,$B11)*$D11)+SUMIFS(Table5!$L:$L,Table5!$A:$A,$B11)*LOG10($D11)+SUMIFS(Table5!$M:$M,Table5!$A:$A,$B11)*LOG10($F11)+SUMIFS(Table5!$N:$N,Table5!$A:$A,$B11)*LOG10(L11)+LOG10(1/$AD11))</f>
        <v>28.904484512210644</v>
      </c>
      <c r="AI11" s="39">
        <f t="shared" si="28"/>
        <v>67.623648209209364</v>
      </c>
      <c r="AJ11" s="39">
        <f t="shared" si="29"/>
        <v>28.590751975443101</v>
      </c>
      <c r="AK11" s="39">
        <f t="shared" si="30"/>
        <v>-177.72598526017862</v>
      </c>
      <c r="AL11" s="40">
        <f t="shared" si="31"/>
        <v>28.590751975443101</v>
      </c>
      <c r="AM11" s="42">
        <f>10^((SUMIFS(Table3!$B:$B,Table3!$A:$A,$B11)+SUMIFS(Table3!$C:$C,Table3!$A:$A,$B11)*LOG10($E11)+(SUMIFS(Table3!$D:$D,Table3!$A:$A,$B11)*$J11)/(SUMIFS(Table3!$E:$E,Table3!$A:$A,$B11)*$D11^7+SUMIFS(Table3!$F:$F,Table3!$A:$A,$B11)*$D11^6+SUMIFS(Table3!$G:$G,Table3!$A:$A,$B11)*$D11^5+SUMIFS(Table3!$H:$H,Table3!$A:$A,$B11)*$D11^4+SUMIFS(Table3!$I:$I,Table3!$A:$A,$B11)*$D11^3+SUMIFS(Table3!$J:$J,Table3!$A:$A,$B11)*$D11^2+SUMIFS(Table3!$K:$K,Table3!$A:$A,$B11)*$D11)+SUMIFS(Table3!$L:$L,Table3!$A:$A,$B11)*LOG10($D11)+SUMIFS(Table3!$N:$N,Table3!$A:$A,$B11)*LOG10(P11)+LOG10(1/$AD11)-LOG10(20/Q11))/-SUMIFS(Table3!$M:$M,Table3!$A:$A,$B11))</f>
        <v>1733.9845874435914</v>
      </c>
      <c r="AN11" s="42">
        <f>10^((SUMIFS(Table3!$B:$B,Table3!$A:$A,$B11)+SUMIFS(Table3!$C:$C,Table3!$A:$A,$B11)*LOG10($E11)+(SUMIFS(Table3!$D:$D,Table3!$A:$A,$B11)*J11)/(SUMIFS(Table3!$E:$E,Table3!$A:$A,$B11)*$D11^7+SUMIFS(Table3!$F:$F,Table3!$A:$A,$B11)*$D11^6+SUMIFS(Table3!$G:$G,Table3!$A:$A,$B11)*$D11^5+SUMIFS(Table3!$H:$H,Table3!$A:$A,$B11)*$D11^4+SUMIFS(Table3!$I:$I,Table3!$A:$A,$B11)*$D11^3+SUMIFS(Table3!$J:$J,Table3!$A:$A,$B11)*$D11^2+SUMIFS(Table3!$K:$K,Table3!$A:$A,$B11)*$D11)+SUMIFS(Table3!$L:$L,Table3!$A:$A,$B11)*LOG10($D11)+SUMIFS(Table3!$N:$N,Table3!$A:$A,$B11)*LOG10(J11)+LOG10(1/$AD11)-LOG10(20/Q11))/-SUMIFS(Table3!$M:$M,Table3!$A:$A,$B11))</f>
        <v>1542.1211861100176</v>
      </c>
      <c r="AO11" s="42">
        <f>10^((SUMIFS(Table4!$B:$B,Table4!$A:$A,$B11)+SUMIFS(Table4!$C:$C,Table4!$A:$A,$B11)*LOG10($E11)+(SUMIFS(Table4!$D:$D,Table4!$A:$A,$B11)*K11)/(SUMIFS(Table4!$E:$E,Table4!$A:$A,$B11)*$D11^7+SUMIFS(Table4!$F:$F,Table4!$A:$A,$B11)*$D11^6+SUMIFS(Table4!$G:$G,Table4!$A:$A,$B11)*$D11^5+SUMIFS(Table4!$H:$H,Table4!$A:$A,$B11)*$D11^4+SUMIFS(Table4!$I:$I,Table4!$A:$A,$B11)*$D11^3+SUMIFS(Table4!$J:$J,Table4!$A:$A,$B11)*$D11^2+SUMIFS(Table4!$K:$K,Table4!$A:$A,$B11)*$D11)+SUMIFS(Table4!$L:$L,Table4!$A:$A,$B11)*LOG10($D11)+SUMIFS(Table4!$N:$N,Table4!$A:$A,$B11)*LOG10(K11)+LOG10(1/$AD11)-LOG10(20/Q11))/-SUMIFS(Table4!$M:$M,Table4!$A:$A,$B11))</f>
        <v>2114.4680160923763</v>
      </c>
      <c r="AP11" s="42">
        <f>10^((SUMIFS(Table5!$B:$B,Table5!$A:$A,$B11)+SUMIFS(Table5!$C:$C,Table5!$A:$A,$B11)*LOG10($E11)+(SUMIFS(Table5!$D:$D,Table5!$A:$A,$B11)*L11)/(SUMIFS(Table5!$E:$E,Table5!$A:$A,$B11)*$D11^7+SUMIFS(Table5!$F:$F,Table5!$A:$A,$B11)*$D11^6+SUMIFS(Table5!$G:$G,Table5!$A:$A,$B11)*$D11^5+SUMIFS(Table5!$H:$H,Table5!$A:$A,$B11)*$D11^4+SUMIFS(Table5!$I:$I,Table5!$A:$A,$B11)*$D11^3+SUMIFS(Table5!$J:$J,Table5!$A:$A,$B11)*$D11^2+SUMIFS(Table5!$K:$K,Table5!$A:$A,$B11)*$D11)+SUMIFS(Table5!$L:$L,Table5!$A:$A,$B11)*LOG10($D11)+SUMIFS(Table5!$N:$N,Table5!$A:$A,$B11)*LOG10(L11)+LOG10(1/$AD11)-LOG10(20/Q11))/-SUMIFS(Table5!$M:$M,Table5!$A:$A,$B11))</f>
        <v>2596.8155972908462</v>
      </c>
      <c r="AQ11" s="42">
        <f t="shared" si="32"/>
        <v>5139.7298317134155</v>
      </c>
      <c r="AR11" s="42">
        <f t="shared" si="33"/>
        <v>2576.0247532736707</v>
      </c>
      <c r="AS11" s="42">
        <f t="shared" si="34"/>
        <v>-10974.987804193552</v>
      </c>
      <c r="AT11" s="43">
        <f t="shared" si="35"/>
        <v>2576.0247532736707</v>
      </c>
      <c r="AU11" s="39">
        <f>SUMIFS(Table2!$B:$B,Table2!$A:$A,$B11)*$C11^6+SUMIFS(Table2!$C:$C,Table2!$A:$A,$B11)*$C11^5+SUMIFS(Table2!$D:$D,Table2!$A:$A,$B11)*$C11^4+SUMIFS(Table2!$E:$E,Table2!$A:$A,$B11)*$C11^3+SUMIFS(Table2!$F:$F,Table2!$A:$A,$B11)*$C11^2+SUMIFS(Table2!$G:$G,Table2!$A:$A,$B11)*$C11+SUMIFS(Table2!$H:$H,Table2!$A:$A,$B11)</f>
        <v>3.7875332503227943E-2</v>
      </c>
      <c r="AV11" s="39">
        <f t="shared" si="36"/>
        <v>0.98106233374838603</v>
      </c>
      <c r="AW11" s="39">
        <f t="shared" si="37"/>
        <v>15.475068008402321</v>
      </c>
      <c r="AX11" s="39">
        <f t="shared" si="38"/>
        <v>17.047855800872554</v>
      </c>
      <c r="AY11" s="39">
        <f t="shared" si="39"/>
        <v>18.559982766349762</v>
      </c>
      <c r="AZ11" s="39">
        <f t="shared" si="40"/>
        <v>25.361162703929502</v>
      </c>
      <c r="BA11" s="39">
        <f t="shared" si="41"/>
        <v>18.494804879906781</v>
      </c>
      <c r="BB11" s="39">
        <f t="shared" si="42"/>
        <v>-17.798800761356162</v>
      </c>
      <c r="BC11" s="40">
        <f t="shared" si="43"/>
        <v>18.494804879906781</v>
      </c>
      <c r="BD11" s="41">
        <v>180</v>
      </c>
      <c r="BE11" s="39">
        <f>(12.552/50)*BD11*10^(SUMIFS(Table3!$B:$B,Table3!$A:$A,$B11)+SUMIFS(Table3!$C:$C,Table3!$A:$A,$B11)*LOG10($E11)+SUMIFS(Table3!$D:$D,Table3!$A:$A,$B11)*$J11/(SUMIFS(Table3!$E:$E,Table3!$A:$A,$B11)*$D11^7+SUMIFS(Table3!$F:$F,Table3!$A:$A,$B11)*$D11^6+SUMIFS(Table3!$G:$G,Table3!$A:$A,$B11)*$D11^5+SUMIFS(Table3!$H:$H,Table3!$A:$A,$B11)*$D11^4+SUMIFS(Table3!$I:$I,Table3!$A:$A,$B11)*$D11^3+SUMIFS(Table3!$J:$J,Table3!$A:$A,$B11)*$D11^2+SUMIFS(Table3!$K:$K,Table3!$A:$A,$B11)*$D11)+SUMIFS(Table3!$L:$L,Table3!$A:$A,$B11)*LOG10($D11)+SUMIFS(Table3!$M:$M,Table3!$A:$A,$B11)*LOG10($F11)+SUMIFS(Table3!$N:$N,Table3!$A:$A,$B11)*LOG10(BC11)+LOG10(1/$AD11))</f>
        <v>15.618139133912676</v>
      </c>
      <c r="BF11" s="39">
        <f>(12.552/50)*BD11*10^(SUMIFS(Table3!$B:$B,Table3!$A:$A,$B11)+SUMIFS(Table3!$C:$C,Table3!$A:$A,$B11)*LOG10($E11)+SUMIFS(Table3!$D:$D,Table3!$A:$A,$B11)*AW11/(SUMIFS(Table3!$E:$E,Table3!$A:$A,$B11)*$D11^7+SUMIFS(Table3!$F:$F,Table3!$A:$A,$B11)*$D11^6+SUMIFS(Table3!$G:$G,Table3!$A:$A,$B11)*$D11^5+SUMIFS(Table3!$H:$H,Table3!$A:$A,$B11)*$D11^4+SUMIFS(Table3!$I:$I,Table3!$A:$A,$B11)*$D11^3+SUMIFS(Table3!$J:$J,Table3!$A:$A,$B11)*$D11^2+SUMIFS(Table3!$K:$K,Table3!$A:$A,$B11)*$D11)+SUMIFS(Table3!$L:$L,Table3!$A:$A,$B11)*LOG10($D11)+SUMIFS(Table3!$M:$M,Table3!$A:$A,$B11)*LOG10($F11)+SUMIFS(Table3!$N:$N,Table3!$A:$A,$B11)*LOG10(AW11)+LOG10(1/$AD11))</f>
        <v>12.670983354491034</v>
      </c>
      <c r="BG11" s="39">
        <f>(12.552/50)*BD11*10^(SUMIFS(Table4!$B:$B,Table4!$A:$A,$B11)+SUMIFS(Table4!$C:$C,Table4!$A:$A,$B11)*LOG10($E11)+SUMIFS(Table4!$D:$D,Table4!$A:$A,$B11)*AX11/(SUMIFS(Table4!$E:$E,Table4!$A:$A,$B11)*$D11^7+SUMIFS(Table4!$F:$F,Table4!$A:$A,$B11)*$D11^6+SUMIFS(Table4!$G:$G,Table4!$A:$A,$B11)*$D11^5+SUMIFS(Table4!$H:$H,Table4!$A:$A,$B11)*$D11^4+SUMIFS(Table4!$I:$I,Table4!$A:$A,$B11)*$D11^3+SUMIFS(Table4!$J:$J,Table4!$A:$A,$B11)*$D11^2+SUMIFS(Table4!$K:$K,Table4!$A:$A,$B11)*$D11)+SUMIFS(Table4!$L:$L,Table4!$A:$A,$B11)*LOG10($D11)+SUMIFS(Table4!$M:$M,Table4!$A:$A,$B11)*LOG10($F11)+SUMIFS(Table4!$N:$N,Table4!$A:$A,$B11)*LOG10(AX11)+LOG10(1/$AD11))</f>
        <v>21.82293095248512</v>
      </c>
      <c r="BH11" s="39">
        <f>(12.552/50)*BD11*10^(SUMIFS(Table5!$B:$B,Table5!$A:$A,$B11)+SUMIFS(Table5!$C:$C,Table5!$A:$A,$B11)*LOG10($E11)+SUMIFS(Table5!$D:$D,Table5!$A:$A,$B11)*AY11/(SUMIFS(Table5!$E:$E,Table5!$A:$A,$B11)*$D11^7+SUMIFS(Table5!$F:$F,Table5!$A:$A,$B11)*$D11^6+SUMIFS(Table5!$G:$G,Table5!$A:$A,$B11)*$D11^5+SUMIFS(Table5!$H:$H,Table5!$A:$A,$B11)*$D11^4+SUMIFS(Table5!$I:$I,Table5!$A:$A,$B11)*$D11^3+SUMIFS(Table5!$J:$J,Table5!$A:$A,$B11)*$D11^2+SUMIFS(Table5!$K:$K,Table5!$A:$A,$B11)*$D11)+SUMIFS(Table5!$L:$L,Table5!$A:$A,$B11)*LOG10($D11)+SUMIFS(Table5!$M:$M,Table5!$A:$A,$B11)*LOG10($F11)+SUMIFS(Table5!$N:$N,Table5!$A:$A,$B11)*LOG10(AY11)+LOG10(1/$AD11))</f>
        <v>29.067306299921224</v>
      </c>
      <c r="BI11" s="39">
        <f t="shared" si="44"/>
        <v>70.197511113311009</v>
      </c>
      <c r="BJ11" s="39">
        <f t="shared" si="45"/>
        <v>28.755048741842081</v>
      </c>
      <c r="BK11" s="39">
        <f t="shared" si="46"/>
        <v>-190.29796665020802</v>
      </c>
      <c r="BL11" s="40">
        <f t="shared" si="47"/>
        <v>28.755048741842081</v>
      </c>
      <c r="BM11" s="42">
        <f>10^((SUMIFS(Table3!$B:$B,Table3!$A:$A,$B11)+SUMIFS(Table3!$C:$C,Table3!$A:$A,$B11)*LOG10($E11)+(SUMIFS(Table3!$D:$D,Table3!$A:$A,$B11)*$J11)/(SUMIFS(Table3!$E:$E,Table3!$A:$A,$B11)*$D11^7+SUMIFS(Table3!$F:$F,Table3!$A:$A,$B11)*$D11^6+SUMIFS(Table3!$G:$G,Table3!$A:$A,$B11)*$D11^5+SUMIFS(Table3!$H:$H,Table3!$A:$A,$B11)*$D11^4+SUMIFS(Table3!$I:$I,Table3!$A:$A,$B11)*$D11^3+SUMIFS(Table3!$J:$J,Table3!$A:$A,$B11)*$D11^2+SUMIFS(Table3!$K:$K,Table3!$A:$A,$B11)*$D11)+SUMIFS(Table3!$L:$L,Table3!$A:$A,$B11)*LOG10($D11)+SUMIFS(Table3!$N:$N,Table3!$A:$A,$B11)*LOG10(BC11)+LOG10(1/$AD11)-LOG10(20/BD11))/-SUMIFS(Table3!$M:$M,Table3!$A:$A,$B11))</f>
        <v>1712.3126891623649</v>
      </c>
      <c r="BN11" s="42">
        <f>10^((SUMIFS(Table3!$B:$B,Table3!$A:$A,$B11)+SUMIFS(Table3!$C:$C,Table3!$A:$A,$B11)*LOG10($E11)+(SUMIFS(Table3!$D:$D,Table3!$A:$A,$B11)*AW11)/(SUMIFS(Table3!$E:$E,Table3!$A:$A,$B11)*$D11^7+SUMIFS(Table3!$F:$F,Table3!$A:$A,$B11)*$D11^6+SUMIFS(Table3!$G:$G,Table3!$A:$A,$B11)*$D11^5+SUMIFS(Table3!$H:$H,Table3!$A:$A,$B11)*$D11^4+SUMIFS(Table3!$I:$I,Table3!$A:$A,$B11)*$D11^3+SUMIFS(Table3!$J:$J,Table3!$A:$A,$B11)*$D11^2+SUMIFS(Table3!$K:$K,Table3!$A:$A,$B11)*$D11)+SUMIFS(Table3!$L:$L,Table3!$A:$A,$B11)*LOG10($D11)+SUMIFS(Table3!$N:$N,Table3!$A:$A,$B11)*LOG10(AW11)+LOG10(1/$AD11)-LOG10(20/BD11))/-SUMIFS(Table3!$M:$M,Table3!$A:$A,$B11))</f>
        <v>1525.3837418061237</v>
      </c>
      <c r="BO11" s="42">
        <f>10^((SUMIFS(Table4!$B:$B,Table4!$A:$A,$B11)+SUMIFS(Table4!$C:$C,Table4!$A:$A,$B11)*LOG10($E11)+(SUMIFS(Table4!$D:$D,Table4!$A:$A,$B11)*AX11)/(SUMIFS(Table4!$E:$E,Table4!$A:$A,$B11)*$D11^7+SUMIFS(Table4!$F:$F,Table4!$A:$A,$B11)*$D11^6+SUMIFS(Table4!$G:$G,Table4!$A:$A,$B11)*$D11^5+SUMIFS(Table4!$H:$H,Table4!$A:$A,$B11)*$D11^4+SUMIFS(Table4!$I:$I,Table4!$A:$A,$B11)*$D11^3+SUMIFS(Table4!$J:$J,Table4!$A:$A,$B11)*$D11^2+SUMIFS(Table4!$K:$K,Table4!$A:$A,$B11)*$D11)+SUMIFS(Table4!$L:$L,Table4!$A:$A,$B11)*LOG10($D11)+SUMIFS(Table4!$N:$N,Table4!$A:$A,$B11)*LOG10(AX11)+LOG10(1/$AD11)-LOG10(20/BD11))/-SUMIFS(Table4!$M:$M,Table4!$A:$A,$B11))</f>
        <v>2125.5061666821339</v>
      </c>
      <c r="BP11" s="42">
        <f>10^((SUMIFS(Table5!$B:$B,Table5!$A:$A,$B11)+SUMIFS(Table5!$C:$C,Table5!$A:$A,$B11)*LOG10($E11)+(SUMIFS(Table5!$D:$D,Table5!$A:$A,$B11)*AY11)/(SUMIFS(Table5!$E:$E,Table5!$A:$A,$B11)*$D11^7+SUMIFS(Table5!$F:$F,Table5!$A:$A,$B11)*$D11^6+SUMIFS(Table5!$G:$G,Table5!$A:$A,$B11)*$D11^5+SUMIFS(Table5!$H:$H,Table5!$A:$A,$B11)*$D11^4+SUMIFS(Table5!$I:$I,Table5!$A:$A,$B11)*$D11^3+SUMIFS(Table5!$J:$J,Table5!$A:$A,$B11)*$D11^2+SUMIFS(Table5!$K:$K,Table5!$A:$A,$B11)*$D11)+SUMIFS(Table5!$L:$L,Table5!$A:$A,$B11)*LOG10($D11)+SUMIFS(Table5!$N:$N,Table5!$A:$A,$B11)*LOG10(AY11)+LOG10(1/$AD11)-LOG10(20/BD11))/-SUMIFS(Table5!$M:$M,Table5!$A:$A,$B11))</f>
        <v>2605.5284936763505</v>
      </c>
      <c r="BQ11" s="42">
        <f t="shared" si="48"/>
        <v>5297.5818410267602</v>
      </c>
      <c r="BR11" s="42">
        <f t="shared" si="49"/>
        <v>2584.8378761334966</v>
      </c>
      <c r="BS11" s="42">
        <f t="shared" si="50"/>
        <v>-11753.951652588041</v>
      </c>
      <c r="BT11" s="43">
        <f t="shared" si="51"/>
        <v>2584.8378761334966</v>
      </c>
    </row>
    <row r="12" spans="1:72" x14ac:dyDescent="0.2">
      <c r="A12" s="46" t="s">
        <v>179</v>
      </c>
      <c r="B12" s="76" t="s">
        <v>13</v>
      </c>
      <c r="C12" s="41">
        <v>4.16</v>
      </c>
      <c r="D12" s="41">
        <v>10.95</v>
      </c>
      <c r="E12" s="41">
        <v>102</v>
      </c>
      <c r="F12" s="41">
        <v>914.4</v>
      </c>
      <c r="G12" s="41">
        <v>400</v>
      </c>
      <c r="H12" s="41">
        <v>750</v>
      </c>
      <c r="I12" s="41">
        <v>500</v>
      </c>
      <c r="J12" s="39">
        <f>10^(SUMIFS(Table1!$C:$C,Table1!$B:$B,600,Table1!$A:$A,$B12)+SUMIFS(Table1!$D:$D,Table1!$B:$B,600,Table1!$A:$A,$B12)*LOG10($D12)+SUMIFS(Table1!$E:$E,Table1!$B:$B,600,Table1!$A:$A,$B12)*LOG10($E12))*(SUMIFS(Table1!$F:$F,Table1!$B:$B,600,Table1!$A:$A,$B12)*$D12^6+SUMIFS(Table1!$G:$G,Table1!$B:$B,600,Table1!$A:$A,$B12)*$D12^5+SUMIFS(Table1!$H:$H,Table1!$B:$B,600,Table1!$A:$A,$B12)*$D12^4+SUMIFS(Table1!$I:$I,Table1!$B:$B,600,Table1!$A:$A,$B12)*$D12^3+SUMIFS(Table1!$J:$J,Table1!$B:$B,600,Table1!$A:$A,$B12)*$D12^2+SUMIFS(Table1!$K:$K,Table1!$B:$B,600,Table1!$A:$A,$B12)*$D12+SUMIFS(Table1!$L:$L,Table1!$B:$B,600,Table1!$A:$A,$B12))</f>
        <v>8.7962837824389979</v>
      </c>
      <c r="K12" s="39">
        <f>10^(SUMIFS(Table1!$C:$C,Table1!$B:$B,2700,Table1!$A:$A,$B12)+SUMIFS(Table1!$D:$D,Table1!$B:$B,2700,Table1!$A:$A,$B12)*LOG10($D12)+SUMIFS(Table1!$E:$E,Table1!$B:$B,2700,Table1!$A:$A,$B12)*LOG10($E12))*(SUMIFS(Table1!$F:$F,Table1!$B:$B,2700,Table1!$A:$A,$B12)*$D12^6+SUMIFS(Table1!$G:$G,Table1!$B:$B,2700,Table1!$A:$A,$B12)*$D12^5+SUMIFS(Table1!$H:$H,Table1!$B:$B,2700,Table1!$A:$A,$B12)*$D12^4+SUMIFS(Table1!$I:$I,Table1!$B:$B,2700,Table1!$A:$A,$B12)*$D12^3+SUMIFS(Table1!$J:$J,Table1!$B:$B,2700,Table1!$A:$A,$B12)*$D12^2+SUMIFS(Table1!$K:$K,Table1!$B:$B,2700,Table1!$A:$A,$B12)*$D12+SUMIFS(Table1!$L:$L,Table1!$B:$B,2700,Table1!$A:$A,$B12))</f>
        <v>9.8016372640401741</v>
      </c>
      <c r="L12" s="39">
        <f>10^(SUMIFS(Table1!$C:$C,Table1!$B:$B,14300,Table1!$A:$A,$B12)+SUMIFS(Table1!$D:$D,Table1!$B:$B,14300,Table1!$A:$A,$B12)*LOG10($D12)+SUMIFS(Table1!$E:$E,Table1!$B:$B,14300,Table1!$A:$A,$B12)*LOG10($E12))*(SUMIFS(Table1!$F:$F,Table1!$B:$B,14300,Table1!$A:$A,$B12)*$D12^6+SUMIFS(Table1!$G:$G,Table1!$B:$B,14300,Table1!$A:$A,$B12)*$D12^5+SUMIFS(Table1!$H:$H,Table1!$B:$B,14300,Table1!$A:$A,$B12)*$D12^4+SUMIFS(Table1!$I:$I,Table1!$B:$B,14300,Table1!$A:$A,$B12)*$D12^3+SUMIFS(Table1!$J:$J,Table1!$B:$B,14300,Table1!$A:$A,$B12)*$D12^2+SUMIFS(Table1!$K:$K,Table1!$B:$B,14300,Table1!$A:$A,$B12)*$D12+SUMIFS(Table1!$L:$L,Table1!$B:$B,14300,Table1!$A:$A,$B12))</f>
        <v>10.566115128532298</v>
      </c>
      <c r="M12" s="39">
        <f t="shared" si="0"/>
        <v>10.500597303629563</v>
      </c>
      <c r="N12" s="39">
        <f t="shared" si="1"/>
        <v>9.8978560297434939</v>
      </c>
      <c r="O12" s="39">
        <f t="shared" si="2"/>
        <v>9.478807334565559</v>
      </c>
      <c r="P12" s="40">
        <f t="shared" ref="P12:P22" si="52">IF(AND($C12&gt;=0.208,$C12&lt;=0.6),1/SQRT((0.6/$C12)^2*(1/(J12)^2-(0.6^2-($C12)^2)/(0.6^2*($D12)^2))),IF(AND($C12&gt;0.6,$C12&lt;=2.7),O12,IF($C12&gt;2.7,N12,"Errado")))</f>
        <v>9.8978560297434939</v>
      </c>
      <c r="Q12" s="41">
        <v>380</v>
      </c>
      <c r="R12" s="45" t="str">
        <f t="shared" si="3"/>
        <v>Typical</v>
      </c>
      <c r="S12" s="36">
        <f t="shared" si="4"/>
        <v>10</v>
      </c>
      <c r="T12" s="36">
        <f t="shared" si="5"/>
        <v>24</v>
      </c>
      <c r="U12" s="36">
        <f t="shared" si="6"/>
        <v>400</v>
      </c>
      <c r="V12" s="36">
        <f>(660.4+($U12-660.4)*($C12+$S12)/$T12)*(1/25.4)</f>
        <v>19.951338582677167</v>
      </c>
      <c r="W12" s="36">
        <f t="shared" si="7"/>
        <v>750</v>
      </c>
      <c r="X12" s="36">
        <f>(660.4+($W12-660.4)*($C12+$S12)/$T12)*(1/25.4)</f>
        <v>28.081259842519685</v>
      </c>
      <c r="Y12" s="37">
        <f>IF($G12&lt;508,IF($R12="Typical",20,0.03937*$G12),IF($G12&lt;=660.4,0.03937*$G12,IF($G12&lt;=1244.6,$V12,$V12)))</f>
        <v>20</v>
      </c>
      <c r="Z12" s="37">
        <f>IF($H12&lt;508,IF($R12="Typical",20,0.03937*$H12),IF($H12&lt;=660.4,0.03937*$H12,IF($H12&lt;=1244.6,IF($B12="VCB",0.03937*$H12,$X12),IF($B12="VCB",49,$X12))))</f>
        <v>28.081259842519685</v>
      </c>
      <c r="AA12" s="39">
        <f>(Z12+Y12)/2</f>
        <v>24.040629921259843</v>
      </c>
      <c r="AB12" s="38">
        <f>SUMIFS(Table7!C:C,Table7!A:A,"Typical",Table7!B:B,$B12)*$AA12^2+SUMIFS(Table7!D:D,Table7!A:A,"Typical",Table7!B:B,$B12)*$AA12+SUMIFS(Table7!E:E,Table7!A:A,"Typical",Table7!B:B,$B12)</f>
        <v>1.076301675905849</v>
      </c>
      <c r="AC12" s="38">
        <f>1/(SUMIFS(Table7!C:C,Table7!A:A,"Shallow",Table7!B:B,$B12)*$AA12^2+SUMIFS(Table7!D:D,Table7!A:A,"Shallow",Table7!B:B,$B12)*$AA12+SUMIFS(Table7!E:E,Table7!A:A,"Shallow",Table7!B:B,$B12))</f>
        <v>1.0130676913614338</v>
      </c>
      <c r="AD12" s="39">
        <f>IF(R12="Typical",AB12,AC12)</f>
        <v>1.076301675905849</v>
      </c>
      <c r="AE12" s="39">
        <f>(12.552/50)*Q12*10^(SUMIFS(Table3!$B:$B,Table3!$A:$A,$B12)+SUMIFS(Table3!$C:$C,Table3!$A:$A,$B12)*LOG10($E12)+SUMIFS(Table3!$D:$D,Table3!$A:$A,$B12)*$J12/(SUMIFS(Table3!$E:$E,Table3!$A:$A,$B12)*$D12^7+SUMIFS(Table3!$F:$F,Table3!$A:$A,$B12)*$D12^6+SUMIFS(Table3!$G:$G,Table3!$A:$A,$B12)*$D12^5+SUMIFS(Table3!$H:$H,Table3!$A:$A,$B12)*$D12^4+SUMIFS(Table3!$I:$I,Table3!$A:$A,$B12)*$D12^3+SUMIFS(Table3!$J:$J,Table3!$A:$A,$B12)*$D12^2+SUMIFS(Table3!$K:$K,Table3!$A:$A,$B12)*$D12)+SUMIFS(Table3!$L:$L,Table3!$A:$A,$B12)*LOG10($D12)+SUMIFS(Table3!$M:$M,Table3!$A:$A,$B12)*LOG10($F12)+SUMIFS(Table3!$N:$N,Table3!$A:$A,$B12)*LOG10(P12)+LOG10(1/$AD12))</f>
        <v>17.085503124022818</v>
      </c>
      <c r="AF12" s="39">
        <f>(12.552/50)*Q12*10^(SUMIFS(Table3!$B:$B,Table3!$A:$A,$B12)+SUMIFS(Table3!$C:$C,Table3!$A:$A,$B12)*LOG10($E12)+SUMIFS(Table3!$D:$D,Table3!$A:$A,$B12)*J12/(SUMIFS(Table3!$E:$E,Table3!$A:$A,$B12)*$D12^7+SUMIFS(Table3!$F:$F,Table3!$A:$A,$B12)*$D12^6+SUMIFS(Table3!$G:$G,Table3!$A:$A,$B12)*$D12^5+SUMIFS(Table3!$H:$H,Table3!$A:$A,$B12)*$D12^4+SUMIFS(Table3!$I:$I,Table3!$A:$A,$B12)*$D12^3+SUMIFS(Table3!$J:$J,Table3!$A:$A,$B12)*$D12^2+SUMIFS(Table3!$K:$K,Table3!$A:$A,$B12)*$D12)+SUMIFS(Table3!$L:$L,Table3!$A:$A,$B12)*LOG10($D12)+SUMIFS(Table3!$M:$M,Table3!$A:$A,$B12)*LOG10($F12)+SUMIFS(Table3!$N:$N,Table3!$A:$A,$B12)*LOG10(J12)+LOG10(1/$AD12))</f>
        <v>14.847382964215784</v>
      </c>
      <c r="AG12" s="39">
        <f>(12.552/50)*Q12*10^(SUMIFS(Table4!$B:$B,Table4!$A:$A,$B12)+SUMIFS(Table4!$C:$C,Table4!$A:$A,$B12)*LOG10($E12)+SUMIFS(Table4!$D:$D,Table4!$A:$A,$B12)*K12/(SUMIFS(Table4!$E:$E,Table4!$A:$A,$B12)*$D12^7+SUMIFS(Table4!$F:$F,Table4!$A:$A,$B12)*$D12^6+SUMIFS(Table4!$G:$G,Table4!$A:$A,$B12)*$D12^5+SUMIFS(Table4!$H:$H,Table4!$A:$A,$B12)*$D12^4+SUMIFS(Table4!$I:$I,Table4!$A:$A,$B12)*$D12^3+SUMIFS(Table4!$J:$J,Table4!$A:$A,$B12)*$D12^2+SUMIFS(Table4!$K:$K,Table4!$A:$A,$B12)*$D12)+SUMIFS(Table4!$L:$L,Table4!$A:$A,$B12)*LOG10($D12)+SUMIFS(Table4!$M:$M,Table4!$A:$A,$B12)*LOG10($F12)+SUMIFS(Table4!$N:$N,Table4!$A:$A,$B12)*LOG10(K12)+LOG10(1/$AD12))</f>
        <v>26.335513598209015</v>
      </c>
      <c r="AH12" s="39">
        <f>(12.552/50)*Q12*10^(SUMIFS(Table5!$B:$B,Table5!$A:$A,$B12)+SUMIFS(Table5!$C:$C,Table5!$A:$A,$B12)*LOG10($E12)+SUMIFS(Table5!$D:$D,Table5!$A:$A,$B12)*L12/(SUMIFS(Table5!$E:$E,Table5!$A:$A,$B12)*$D12^7+SUMIFS(Table5!$F:$F,Table5!$A:$A,$B12)*$D12^6+SUMIFS(Table5!$G:$G,Table5!$A:$A,$B12)*$D12^5+SUMIFS(Table5!$H:$H,Table5!$A:$A,$B12)*$D12^4+SUMIFS(Table5!$I:$I,Table5!$A:$A,$B12)*$D12^3+SUMIFS(Table5!$J:$J,Table5!$A:$A,$B12)*$D12^2+SUMIFS(Table5!$K:$K,Table5!$A:$A,$B12)*$D12)+SUMIFS(Table5!$L:$L,Table5!$A:$A,$B12)*LOG10($D12)+SUMIFS(Table5!$M:$M,Table5!$A:$A,$B12)*LOG10($F12)+SUMIFS(Table5!$N:$N,Table5!$A:$A,$B12)*LOG10(L12)+LOG10(1/$AD12))</f>
        <v>35.545858266864073</v>
      </c>
      <c r="AI12" s="39">
        <f t="shared" si="28"/>
        <v>34.322499658032882</v>
      </c>
      <c r="AJ12" s="39">
        <f t="shared" si="29"/>
        <v>27.494746634091463</v>
      </c>
      <c r="AK12" s="39">
        <f t="shared" si="30"/>
        <v>22.747832626970286</v>
      </c>
      <c r="AL12" s="40">
        <f t="shared" si="31"/>
        <v>27.494746634091463</v>
      </c>
      <c r="AM12" s="42">
        <f>10^((SUMIFS(Table3!$B:$B,Table3!$A:$A,$B12)+SUMIFS(Table3!$C:$C,Table3!$A:$A,$B12)*LOG10($E12)+(SUMIFS(Table3!$D:$D,Table3!$A:$A,$B12)*$J12)/(SUMIFS(Table3!$E:$E,Table3!$A:$A,$B12)*$D12^7+SUMIFS(Table3!$F:$F,Table3!$A:$A,$B12)*$D12^6+SUMIFS(Table3!$G:$G,Table3!$A:$A,$B12)*$D12^5+SUMIFS(Table3!$H:$H,Table3!$A:$A,$B12)*$D12^4+SUMIFS(Table3!$I:$I,Table3!$A:$A,$B12)*$D12^3+SUMIFS(Table3!$J:$J,Table3!$A:$A,$B12)*$D12^2+SUMIFS(Table3!$K:$K,Table3!$A:$A,$B12)*$D12)+SUMIFS(Table3!$L:$L,Table3!$A:$A,$B12)*LOG10($D12)+SUMIFS(Table3!$N:$N,Table3!$A:$A,$B12)*LOG10(P12)+LOG10(1/$AD12)-LOG10(20/Q12))/-SUMIFS(Table3!$M:$M,Table3!$A:$A,$B12))</f>
        <v>1799.4554941721935</v>
      </c>
      <c r="AN12" s="42">
        <f>10^((SUMIFS(Table3!$B:$B,Table3!$A:$A,$B12)+SUMIFS(Table3!$C:$C,Table3!$A:$A,$B12)*LOG10($E12)+(SUMIFS(Table3!$D:$D,Table3!$A:$A,$B12)*J12)/(SUMIFS(Table3!$E:$E,Table3!$A:$A,$B12)*$D12^7+SUMIFS(Table3!$F:$F,Table3!$A:$A,$B12)*$D12^6+SUMIFS(Table3!$G:$G,Table3!$A:$A,$B12)*$D12^5+SUMIFS(Table3!$H:$H,Table3!$A:$A,$B12)*$D12^4+SUMIFS(Table3!$I:$I,Table3!$A:$A,$B12)*$D12^3+SUMIFS(Table3!$J:$J,Table3!$A:$A,$B12)*$D12^2+SUMIFS(Table3!$K:$K,Table3!$A:$A,$B12)*$D12)+SUMIFS(Table3!$L:$L,Table3!$A:$A,$B12)*LOG10($D12)+SUMIFS(Table3!$N:$N,Table3!$A:$A,$B12)*LOG10(J12)+LOG10(1/$AD12)-LOG10(20/Q12))/-SUMIFS(Table3!$M:$M,Table3!$A:$A,$B12))</f>
        <v>1665.0721628893682</v>
      </c>
      <c r="AO12" s="42">
        <f>10^((SUMIFS(Table4!$B:$B,Table4!$A:$A,$B12)+SUMIFS(Table4!$C:$C,Table4!$A:$A,$B12)*LOG10($E12)+(SUMIFS(Table4!$D:$D,Table4!$A:$A,$B12)*K12)/(SUMIFS(Table4!$E:$E,Table4!$A:$A,$B12)*$D12^7+SUMIFS(Table4!$F:$F,Table4!$A:$A,$B12)*$D12^6+SUMIFS(Table4!$G:$G,Table4!$A:$A,$B12)*$D12^5+SUMIFS(Table4!$H:$H,Table4!$A:$A,$B12)*$D12^4+SUMIFS(Table4!$I:$I,Table4!$A:$A,$B12)*$D12^3+SUMIFS(Table4!$J:$J,Table4!$A:$A,$B12)*$D12^2+SUMIFS(Table4!$K:$K,Table4!$A:$A,$B12)*$D12)+SUMIFS(Table4!$L:$L,Table4!$A:$A,$B12)*LOG10($D12)+SUMIFS(Table4!$N:$N,Table4!$A:$A,$B12)*LOG10(K12)+LOG10(1/$AD12)-LOG10(20/Q12))/-SUMIFS(Table4!$M:$M,Table4!$A:$A,$B12))</f>
        <v>2367.6721302616938</v>
      </c>
      <c r="AP12" s="42">
        <f>10^((SUMIFS(Table5!$B:$B,Table5!$A:$A,$B12)+SUMIFS(Table5!$C:$C,Table5!$A:$A,$B12)*LOG10($E12)+(SUMIFS(Table5!$D:$D,Table5!$A:$A,$B12)*L12)/(SUMIFS(Table5!$E:$E,Table5!$A:$A,$B12)*$D12^7+SUMIFS(Table5!$F:$F,Table5!$A:$A,$B12)*$D12^6+SUMIFS(Table5!$G:$G,Table5!$A:$A,$B12)*$D12^5+SUMIFS(Table5!$H:$H,Table5!$A:$A,$B12)*$D12^4+SUMIFS(Table5!$I:$I,Table5!$A:$A,$B12)*$D12^3+SUMIFS(Table5!$J:$J,Table5!$A:$A,$B12)*$D12^2+SUMIFS(Table5!$K:$K,Table5!$A:$A,$B12)*$D12)+SUMIFS(Table5!$L:$L,Table5!$A:$A,$B12)*LOG10($D12)+SUMIFS(Table5!$N:$N,Table5!$A:$A,$B12)*LOG10(L12)+LOG10(1/$AD12)-LOG10(20/Q12))/-SUMIFS(Table5!$M:$M,Table5!$A:$A,$B12))</f>
        <v>2937.6719151018792</v>
      </c>
      <c r="AQ12" s="42">
        <f t="shared" si="32"/>
        <v>2856.1463932919773</v>
      </c>
      <c r="AR12" s="42">
        <f t="shared" si="33"/>
        <v>2439.4134824915791</v>
      </c>
      <c r="AS12" s="42">
        <f t="shared" si="34"/>
        <v>2149.6848873636827</v>
      </c>
      <c r="AT12" s="43">
        <f t="shared" si="35"/>
        <v>2439.4134824915791</v>
      </c>
      <c r="AU12" s="39">
        <f>SUMIFS(Table2!$B:$B,Table2!$A:$A,$B12)*$C12^6+SUMIFS(Table2!$C:$C,Table2!$A:$A,$B12)*$C12^5+SUMIFS(Table2!$D:$D,Table2!$A:$A,$B12)*$C12^4+SUMIFS(Table2!$E:$E,Table2!$A:$A,$B12)*$C12^3+SUMIFS(Table2!$F:$F,Table2!$A:$A,$B12)*$C12^2+SUMIFS(Table2!$G:$G,Table2!$A:$A,$B12)*$C12+SUMIFS(Table2!$H:$H,Table2!$A:$A,$B12)</f>
        <v>4.3272311661777918E-2</v>
      </c>
      <c r="AV12" s="39">
        <f t="shared" si="36"/>
        <v>0.97836384416911104</v>
      </c>
      <c r="AW12" s="39">
        <f t="shared" si="37"/>
        <v>8.6059660157894271</v>
      </c>
      <c r="AX12" s="39">
        <f t="shared" si="38"/>
        <v>9.5895675127975526</v>
      </c>
      <c r="AY12" s="39">
        <f t="shared" si="39"/>
        <v>10.337505015084259</v>
      </c>
      <c r="AZ12" s="39">
        <f t="shared" si="40"/>
        <v>10.27340474405082</v>
      </c>
      <c r="BA12" s="39">
        <f t="shared" si="41"/>
        <v>9.6837044742922593</v>
      </c>
      <c r="BB12" s="39">
        <f t="shared" si="42"/>
        <v>9.2737223819839247</v>
      </c>
      <c r="BC12" s="40">
        <f t="shared" si="43"/>
        <v>9.6837044742922593</v>
      </c>
      <c r="BD12" s="41">
        <v>380</v>
      </c>
      <c r="BE12" s="39">
        <f>(12.552/50)*BD12*10^(SUMIFS(Table3!$B:$B,Table3!$A:$A,$B12)+SUMIFS(Table3!$C:$C,Table3!$A:$A,$B12)*LOG10($E12)+SUMIFS(Table3!$D:$D,Table3!$A:$A,$B12)*$J12/(SUMIFS(Table3!$E:$E,Table3!$A:$A,$B12)*$D12^7+SUMIFS(Table3!$F:$F,Table3!$A:$A,$B12)*$D12^6+SUMIFS(Table3!$G:$G,Table3!$A:$A,$B12)*$D12^5+SUMIFS(Table3!$H:$H,Table3!$A:$A,$B12)*$D12^4+SUMIFS(Table3!$I:$I,Table3!$A:$A,$B12)*$D12^3+SUMIFS(Table3!$J:$J,Table3!$A:$A,$B12)*$D12^2+SUMIFS(Table3!$K:$K,Table3!$A:$A,$B12)*$D12)+SUMIFS(Table3!$L:$L,Table3!$A:$A,$B12)*LOG10($D12)+SUMIFS(Table3!$M:$M,Table3!$A:$A,$B12)*LOG10($F12)+SUMIFS(Table3!$N:$N,Table3!$A:$A,$B12)*LOG10(BC12)+LOG10(1/$AD12))</f>
        <v>16.646511762440475</v>
      </c>
      <c r="BF12" s="39">
        <f>(12.552/50)*BD12*10^(SUMIFS(Table3!$B:$B,Table3!$A:$A,$B12)+SUMIFS(Table3!$C:$C,Table3!$A:$A,$B12)*LOG10($E12)+SUMIFS(Table3!$D:$D,Table3!$A:$A,$B12)*AW12/(SUMIFS(Table3!$E:$E,Table3!$A:$A,$B12)*$D12^7+SUMIFS(Table3!$F:$F,Table3!$A:$A,$B12)*$D12^6+SUMIFS(Table3!$G:$G,Table3!$A:$A,$B12)*$D12^5+SUMIFS(Table3!$H:$H,Table3!$A:$A,$B12)*$D12^4+SUMIFS(Table3!$I:$I,Table3!$A:$A,$B12)*$D12^3+SUMIFS(Table3!$J:$J,Table3!$A:$A,$B12)*$D12^2+SUMIFS(Table3!$K:$K,Table3!$A:$A,$B12)*$D12)+SUMIFS(Table3!$L:$L,Table3!$A:$A,$B12)*LOG10($D12)+SUMIFS(Table3!$M:$M,Table3!$A:$A,$B12)*LOG10($F12)+SUMIFS(Table3!$N:$N,Table3!$A:$A,$B12)*LOG10(AW12)+LOG10(1/$AD12))</f>
        <v>14.517368367211724</v>
      </c>
      <c r="BG12" s="39">
        <f>(12.552/50)*BD12*10^(SUMIFS(Table4!$B:$B,Table4!$A:$A,$B12)+SUMIFS(Table4!$C:$C,Table4!$A:$A,$B12)*LOG10($E12)+SUMIFS(Table4!$D:$D,Table4!$A:$A,$B12)*AX12/(SUMIFS(Table4!$E:$E,Table4!$A:$A,$B12)*$D12^7+SUMIFS(Table4!$F:$F,Table4!$A:$A,$B12)*$D12^6+SUMIFS(Table4!$G:$G,Table4!$A:$A,$B12)*$D12^5+SUMIFS(Table4!$H:$H,Table4!$A:$A,$B12)*$D12^4+SUMIFS(Table4!$I:$I,Table4!$A:$A,$B12)*$D12^3+SUMIFS(Table4!$J:$J,Table4!$A:$A,$B12)*$D12^2+SUMIFS(Table4!$K:$K,Table4!$A:$A,$B12)*$D12)+SUMIFS(Table4!$L:$L,Table4!$A:$A,$B12)*LOG10($D12)+SUMIFS(Table4!$M:$M,Table4!$A:$A,$B12)*LOG10($F12)+SUMIFS(Table4!$N:$N,Table4!$A:$A,$B12)*LOG10(AX12)+LOG10(1/$AD12))</f>
        <v>26.616291349469115</v>
      </c>
      <c r="BH12" s="39">
        <f>(12.552/50)*BD12*10^(SUMIFS(Table5!$B:$B,Table5!$A:$A,$B12)+SUMIFS(Table5!$C:$C,Table5!$A:$A,$B12)*LOG10($E12)+SUMIFS(Table5!$D:$D,Table5!$A:$A,$B12)*AY12/(SUMIFS(Table5!$E:$E,Table5!$A:$A,$B12)*$D12^7+SUMIFS(Table5!$F:$F,Table5!$A:$A,$B12)*$D12^6+SUMIFS(Table5!$G:$G,Table5!$A:$A,$B12)*$D12^5+SUMIFS(Table5!$H:$H,Table5!$A:$A,$B12)*$D12^4+SUMIFS(Table5!$I:$I,Table5!$A:$A,$B12)*$D12^3+SUMIFS(Table5!$J:$J,Table5!$A:$A,$B12)*$D12^2+SUMIFS(Table5!$K:$K,Table5!$A:$A,$B12)*$D12)+SUMIFS(Table5!$L:$L,Table5!$A:$A,$B12)*LOG10($D12)+SUMIFS(Table5!$M:$M,Table5!$A:$A,$B12)*LOG10($F12)+SUMIFS(Table5!$N:$N,Table5!$A:$A,$B12)*LOG10(AY12)+LOG10(1/$AD12))</f>
        <v>35.771615220365781</v>
      </c>
      <c r="BI12" s="39">
        <f t="shared" si="44"/>
        <v>35.027923518086155</v>
      </c>
      <c r="BJ12" s="39">
        <f t="shared" si="45"/>
        <v>27.768599353909558</v>
      </c>
      <c r="BK12" s="39">
        <f t="shared" si="46"/>
        <v>22.721640649291547</v>
      </c>
      <c r="BL12" s="40">
        <f t="shared" si="47"/>
        <v>27.768599353909558</v>
      </c>
      <c r="BM12" s="42">
        <f>10^((SUMIFS(Table3!$B:$B,Table3!$A:$A,$B12)+SUMIFS(Table3!$C:$C,Table3!$A:$A,$B12)*LOG10($E12)+(SUMIFS(Table3!$D:$D,Table3!$A:$A,$B12)*$J12)/(SUMIFS(Table3!$E:$E,Table3!$A:$A,$B12)*$D12^7+SUMIFS(Table3!$F:$F,Table3!$A:$A,$B12)*$D12^6+SUMIFS(Table3!$G:$G,Table3!$A:$A,$B12)*$D12^5+SUMIFS(Table3!$H:$H,Table3!$A:$A,$B12)*$D12^4+SUMIFS(Table3!$I:$I,Table3!$A:$A,$B12)*$D12^3+SUMIFS(Table3!$J:$J,Table3!$A:$A,$B12)*$D12^2+SUMIFS(Table3!$K:$K,Table3!$A:$A,$B12)*$D12)+SUMIFS(Table3!$L:$L,Table3!$A:$A,$B12)*LOG10($D12)+SUMIFS(Table3!$N:$N,Table3!$A:$A,$B12)*LOG10(BC12)+LOG10(1/$AD12)-LOG10(20/BD12))/-SUMIFS(Table3!$M:$M,Table3!$A:$A,$B12))</f>
        <v>1773.7485785797344</v>
      </c>
      <c r="BN12" s="42">
        <f>10^((SUMIFS(Table3!$B:$B,Table3!$A:$A,$B12)+SUMIFS(Table3!$C:$C,Table3!$A:$A,$B12)*LOG10($E12)+(SUMIFS(Table3!$D:$D,Table3!$A:$A,$B12)*AW12)/(SUMIFS(Table3!$E:$E,Table3!$A:$A,$B12)*$D12^7+SUMIFS(Table3!$F:$F,Table3!$A:$A,$B12)*$D12^6+SUMIFS(Table3!$G:$G,Table3!$A:$A,$B12)*$D12^5+SUMIFS(Table3!$H:$H,Table3!$A:$A,$B12)*$D12^4+SUMIFS(Table3!$I:$I,Table3!$A:$A,$B12)*$D12^3+SUMIFS(Table3!$J:$J,Table3!$A:$A,$B12)*$D12^2+SUMIFS(Table3!$K:$K,Table3!$A:$A,$B12)*$D12)+SUMIFS(Table3!$L:$L,Table3!$A:$A,$B12)*LOG10($D12)+SUMIFS(Table3!$N:$N,Table3!$A:$A,$B12)*LOG10(AW12)+LOG10(1/$AD12)-LOG10(20/BD12))/-SUMIFS(Table3!$M:$M,Table3!$A:$A,$B12))</f>
        <v>1644.5106905033945</v>
      </c>
      <c r="BO12" s="42">
        <f>10^((SUMIFS(Table4!$B:$B,Table4!$A:$A,$B12)+SUMIFS(Table4!$C:$C,Table4!$A:$A,$B12)*LOG10($E12)+(SUMIFS(Table4!$D:$D,Table4!$A:$A,$B12)*AX12)/(SUMIFS(Table4!$E:$E,Table4!$A:$A,$B12)*$D12^7+SUMIFS(Table4!$F:$F,Table4!$A:$A,$B12)*$D12^6+SUMIFS(Table4!$G:$G,Table4!$A:$A,$B12)*$D12^5+SUMIFS(Table4!$H:$H,Table4!$A:$A,$B12)*$D12^4+SUMIFS(Table4!$I:$I,Table4!$A:$A,$B12)*$D12^3+SUMIFS(Table4!$J:$J,Table4!$A:$A,$B12)*$D12^2+SUMIFS(Table4!$K:$K,Table4!$A:$A,$B12)*$D12)+SUMIFS(Table4!$L:$L,Table4!$A:$A,$B12)*LOG10($D12)+SUMIFS(Table4!$N:$N,Table4!$A:$A,$B12)*LOG10(AX12)+LOG10(1/$AD12)-LOG10(20/BD12))/-SUMIFS(Table4!$M:$M,Table4!$A:$A,$B12))</f>
        <v>2382.1302575181276</v>
      </c>
      <c r="BP12" s="42">
        <f>10^((SUMIFS(Table5!$B:$B,Table5!$A:$A,$B12)+SUMIFS(Table5!$C:$C,Table5!$A:$A,$B12)*LOG10($E12)+(SUMIFS(Table5!$D:$D,Table5!$A:$A,$B12)*AY12)/(SUMIFS(Table5!$E:$E,Table5!$A:$A,$B12)*$D12^7+SUMIFS(Table5!$F:$F,Table5!$A:$A,$B12)*$D12^6+SUMIFS(Table5!$G:$G,Table5!$A:$A,$B12)*$D12^5+SUMIFS(Table5!$H:$H,Table5!$A:$A,$B12)*$D12^4+SUMIFS(Table5!$I:$I,Table5!$A:$A,$B12)*$D12^3+SUMIFS(Table5!$J:$J,Table5!$A:$A,$B12)*$D12^2+SUMIFS(Table5!$K:$K,Table5!$A:$A,$B12)*$D12)+SUMIFS(Table5!$L:$L,Table5!$A:$A,$B12)*LOG10($D12)+SUMIFS(Table5!$N:$N,Table5!$A:$A,$B12)*LOG10(AY12)+LOG10(1/$AD12)-LOG10(20/BD12))/-SUMIFS(Table5!$M:$M,Table5!$A:$A,$B12))</f>
        <v>2948.7832669609784</v>
      </c>
      <c r="BQ12" s="42">
        <f t="shared" si="48"/>
        <v>2894.9514802997992</v>
      </c>
      <c r="BR12" s="42">
        <f t="shared" si="49"/>
        <v>2453.4503776721413</v>
      </c>
      <c r="BS12" s="42">
        <f t="shared" si="50"/>
        <v>2146.5019920357699</v>
      </c>
      <c r="BT12" s="43">
        <f t="shared" si="51"/>
        <v>2453.4503776721413</v>
      </c>
    </row>
    <row r="13" spans="1:72" x14ac:dyDescent="0.2">
      <c r="A13" s="46" t="s">
        <v>180</v>
      </c>
      <c r="B13" s="76" t="s">
        <v>13</v>
      </c>
      <c r="C13" s="41">
        <v>4.16</v>
      </c>
      <c r="D13" s="41">
        <v>10.95</v>
      </c>
      <c r="E13" s="41">
        <v>102</v>
      </c>
      <c r="F13" s="41">
        <v>914.4</v>
      </c>
      <c r="G13" s="41">
        <v>400</v>
      </c>
      <c r="H13" s="41">
        <v>750</v>
      </c>
      <c r="I13" s="41">
        <v>500</v>
      </c>
      <c r="J13" s="39">
        <f>10^(SUMIFS(Table1!$C:$C,Table1!$B:$B,600,Table1!$A:$A,$B13)+SUMIFS(Table1!$D:$D,Table1!$B:$B,600,Table1!$A:$A,$B13)*LOG10($D13)+SUMIFS(Table1!$E:$E,Table1!$B:$B,600,Table1!$A:$A,$B13)*LOG10($E13))*(SUMIFS(Table1!$F:$F,Table1!$B:$B,600,Table1!$A:$A,$B13)*$D13^6+SUMIFS(Table1!$G:$G,Table1!$B:$B,600,Table1!$A:$A,$B13)*$D13^5+SUMIFS(Table1!$H:$H,Table1!$B:$B,600,Table1!$A:$A,$B13)*$D13^4+SUMIFS(Table1!$I:$I,Table1!$B:$B,600,Table1!$A:$A,$B13)*$D13^3+SUMIFS(Table1!$J:$J,Table1!$B:$B,600,Table1!$A:$A,$B13)*$D13^2+SUMIFS(Table1!$K:$K,Table1!$B:$B,600,Table1!$A:$A,$B13)*$D13+SUMIFS(Table1!$L:$L,Table1!$B:$B,600,Table1!$A:$A,$B13))</f>
        <v>8.7962837824389979</v>
      </c>
      <c r="K13" s="39">
        <f>10^(SUMIFS(Table1!$C:$C,Table1!$B:$B,2700,Table1!$A:$A,$B13)+SUMIFS(Table1!$D:$D,Table1!$B:$B,2700,Table1!$A:$A,$B13)*LOG10($D13)+SUMIFS(Table1!$E:$E,Table1!$B:$B,2700,Table1!$A:$A,$B13)*LOG10($E13))*(SUMIFS(Table1!$F:$F,Table1!$B:$B,2700,Table1!$A:$A,$B13)*$D13^6+SUMIFS(Table1!$G:$G,Table1!$B:$B,2700,Table1!$A:$A,$B13)*$D13^5+SUMIFS(Table1!$H:$H,Table1!$B:$B,2700,Table1!$A:$A,$B13)*$D13^4+SUMIFS(Table1!$I:$I,Table1!$B:$B,2700,Table1!$A:$A,$B13)*$D13^3+SUMIFS(Table1!$J:$J,Table1!$B:$B,2700,Table1!$A:$A,$B13)*$D13^2+SUMIFS(Table1!$K:$K,Table1!$B:$B,2700,Table1!$A:$A,$B13)*$D13+SUMIFS(Table1!$L:$L,Table1!$B:$B,2700,Table1!$A:$A,$B13))</f>
        <v>9.8016372640401741</v>
      </c>
      <c r="L13" s="39">
        <f>10^(SUMIFS(Table1!$C:$C,Table1!$B:$B,14300,Table1!$A:$A,$B13)+SUMIFS(Table1!$D:$D,Table1!$B:$B,14300,Table1!$A:$A,$B13)*LOG10($D13)+SUMIFS(Table1!$E:$E,Table1!$B:$B,14300,Table1!$A:$A,$B13)*LOG10($E13))*(SUMIFS(Table1!$F:$F,Table1!$B:$B,14300,Table1!$A:$A,$B13)*$D13^6+SUMIFS(Table1!$G:$G,Table1!$B:$B,14300,Table1!$A:$A,$B13)*$D13^5+SUMIFS(Table1!$H:$H,Table1!$B:$B,14300,Table1!$A:$A,$B13)*$D13^4+SUMIFS(Table1!$I:$I,Table1!$B:$B,14300,Table1!$A:$A,$B13)*$D13^3+SUMIFS(Table1!$J:$J,Table1!$B:$B,14300,Table1!$A:$A,$B13)*$D13^2+SUMIFS(Table1!$K:$K,Table1!$B:$B,14300,Table1!$A:$A,$B13)*$D13+SUMIFS(Table1!$L:$L,Table1!$B:$B,14300,Table1!$A:$A,$B13))</f>
        <v>10.566115128532298</v>
      </c>
      <c r="M13" s="39">
        <f t="shared" si="0"/>
        <v>10.500597303629563</v>
      </c>
      <c r="N13" s="39">
        <f t="shared" si="1"/>
        <v>9.8978560297434939</v>
      </c>
      <c r="O13" s="39">
        <f t="shared" si="2"/>
        <v>9.478807334565559</v>
      </c>
      <c r="P13" s="40">
        <f t="shared" si="52"/>
        <v>9.8978560297434939</v>
      </c>
      <c r="Q13" s="41">
        <v>380</v>
      </c>
      <c r="R13" s="45" t="str">
        <f t="shared" si="3"/>
        <v>Typical</v>
      </c>
      <c r="S13" s="36">
        <f t="shared" si="4"/>
        <v>10</v>
      </c>
      <c r="T13" s="36">
        <f t="shared" si="5"/>
        <v>24</v>
      </c>
      <c r="U13" s="36">
        <f t="shared" si="6"/>
        <v>400</v>
      </c>
      <c r="V13" s="36">
        <f>(660.4+($U13-660.4)*($C13+$S13)/$T13)*(1/25.4)</f>
        <v>19.951338582677167</v>
      </c>
      <c r="W13" s="36">
        <f t="shared" si="7"/>
        <v>750</v>
      </c>
      <c r="X13" s="36">
        <f>(660.4+($W13-660.4)*($C13+$S13)/$T13)*(1/25.4)</f>
        <v>28.081259842519685</v>
      </c>
      <c r="Y13" s="37">
        <f>IF($G13&lt;508,IF($R13="Typical",20,0.03937*$G13),IF($G13&lt;=660.4,0.03937*$G13,IF($G13&lt;=1244.6,$V13,$V13)))</f>
        <v>20</v>
      </c>
      <c r="Z13" s="37">
        <f>IF($H13&lt;508,IF($R13="Typical",20,0.03937*$H13),IF($H13&lt;=660.4,0.03937*$H13,IF($H13&lt;=1244.6,IF($B13="VCB",0.03937*$H13,$X13),IF($B13="VCB",49,$X13))))</f>
        <v>28.081259842519685</v>
      </c>
      <c r="AA13" s="39">
        <f>(Z13+Y13)/2</f>
        <v>24.040629921259843</v>
      </c>
      <c r="AB13" s="38">
        <f>SUMIFS(Table7!C:C,Table7!A:A,"Typical",Table7!B:B,$B13)*$AA13^2+SUMIFS(Table7!D:D,Table7!A:A,"Typical",Table7!B:B,$B13)*$AA13+SUMIFS(Table7!E:E,Table7!A:A,"Typical",Table7!B:B,$B13)</f>
        <v>1.076301675905849</v>
      </c>
      <c r="AC13" s="38">
        <f>1/(SUMIFS(Table7!C:C,Table7!A:A,"Shallow",Table7!B:B,$B13)*$AA13^2+SUMIFS(Table7!D:D,Table7!A:A,"Shallow",Table7!B:B,$B13)*$AA13+SUMIFS(Table7!E:E,Table7!A:A,"Shallow",Table7!B:B,$B13))</f>
        <v>1.0130676913614338</v>
      </c>
      <c r="AD13" s="39">
        <f>IF(R13="Typical",AB13,AC13)</f>
        <v>1.076301675905849</v>
      </c>
      <c r="AE13" s="39">
        <f>(12.552/50)*Q13*10^(SUMIFS(Table3!$B:$B,Table3!$A:$A,$B13)+SUMIFS(Table3!$C:$C,Table3!$A:$A,$B13)*LOG10($E13)+SUMIFS(Table3!$D:$D,Table3!$A:$A,$B13)*$J13/(SUMIFS(Table3!$E:$E,Table3!$A:$A,$B13)*$D13^7+SUMIFS(Table3!$F:$F,Table3!$A:$A,$B13)*$D13^6+SUMIFS(Table3!$G:$G,Table3!$A:$A,$B13)*$D13^5+SUMIFS(Table3!$H:$H,Table3!$A:$A,$B13)*$D13^4+SUMIFS(Table3!$I:$I,Table3!$A:$A,$B13)*$D13^3+SUMIFS(Table3!$J:$J,Table3!$A:$A,$B13)*$D13^2+SUMIFS(Table3!$K:$K,Table3!$A:$A,$B13)*$D13)+SUMIFS(Table3!$L:$L,Table3!$A:$A,$B13)*LOG10($D13)+SUMIFS(Table3!$M:$M,Table3!$A:$A,$B13)*LOG10($F13)+SUMIFS(Table3!$N:$N,Table3!$A:$A,$B13)*LOG10(P13)+LOG10(1/$AD13))</f>
        <v>17.085503124022818</v>
      </c>
      <c r="AF13" s="39">
        <f>(12.552/50)*Q13*10^(SUMIFS(Table3!$B:$B,Table3!$A:$A,$B13)+SUMIFS(Table3!$C:$C,Table3!$A:$A,$B13)*LOG10($E13)+SUMIFS(Table3!$D:$D,Table3!$A:$A,$B13)*J13/(SUMIFS(Table3!$E:$E,Table3!$A:$A,$B13)*$D13^7+SUMIFS(Table3!$F:$F,Table3!$A:$A,$B13)*$D13^6+SUMIFS(Table3!$G:$G,Table3!$A:$A,$B13)*$D13^5+SUMIFS(Table3!$H:$H,Table3!$A:$A,$B13)*$D13^4+SUMIFS(Table3!$I:$I,Table3!$A:$A,$B13)*$D13^3+SUMIFS(Table3!$J:$J,Table3!$A:$A,$B13)*$D13^2+SUMIFS(Table3!$K:$K,Table3!$A:$A,$B13)*$D13)+SUMIFS(Table3!$L:$L,Table3!$A:$A,$B13)*LOG10($D13)+SUMIFS(Table3!$M:$M,Table3!$A:$A,$B13)*LOG10($F13)+SUMIFS(Table3!$N:$N,Table3!$A:$A,$B13)*LOG10(J13)+LOG10(1/$AD13))</f>
        <v>14.847382964215784</v>
      </c>
      <c r="AG13" s="39">
        <f>(12.552/50)*Q13*10^(SUMIFS(Table4!$B:$B,Table4!$A:$A,$B13)+SUMIFS(Table4!$C:$C,Table4!$A:$A,$B13)*LOG10($E13)+SUMIFS(Table4!$D:$D,Table4!$A:$A,$B13)*K13/(SUMIFS(Table4!$E:$E,Table4!$A:$A,$B13)*$D13^7+SUMIFS(Table4!$F:$F,Table4!$A:$A,$B13)*$D13^6+SUMIFS(Table4!$G:$G,Table4!$A:$A,$B13)*$D13^5+SUMIFS(Table4!$H:$H,Table4!$A:$A,$B13)*$D13^4+SUMIFS(Table4!$I:$I,Table4!$A:$A,$B13)*$D13^3+SUMIFS(Table4!$J:$J,Table4!$A:$A,$B13)*$D13^2+SUMIFS(Table4!$K:$K,Table4!$A:$A,$B13)*$D13)+SUMIFS(Table4!$L:$L,Table4!$A:$A,$B13)*LOG10($D13)+SUMIFS(Table4!$M:$M,Table4!$A:$A,$B13)*LOG10($F13)+SUMIFS(Table4!$N:$N,Table4!$A:$A,$B13)*LOG10(K13)+LOG10(1/$AD13))</f>
        <v>26.335513598209015</v>
      </c>
      <c r="AH13" s="39">
        <f>(12.552/50)*Q13*10^(SUMIFS(Table5!$B:$B,Table5!$A:$A,$B13)+SUMIFS(Table5!$C:$C,Table5!$A:$A,$B13)*LOG10($E13)+SUMIFS(Table5!$D:$D,Table5!$A:$A,$B13)*L13/(SUMIFS(Table5!$E:$E,Table5!$A:$A,$B13)*$D13^7+SUMIFS(Table5!$F:$F,Table5!$A:$A,$B13)*$D13^6+SUMIFS(Table5!$G:$G,Table5!$A:$A,$B13)*$D13^5+SUMIFS(Table5!$H:$H,Table5!$A:$A,$B13)*$D13^4+SUMIFS(Table5!$I:$I,Table5!$A:$A,$B13)*$D13^3+SUMIFS(Table5!$J:$J,Table5!$A:$A,$B13)*$D13^2+SUMIFS(Table5!$K:$K,Table5!$A:$A,$B13)*$D13)+SUMIFS(Table5!$L:$L,Table5!$A:$A,$B13)*LOG10($D13)+SUMIFS(Table5!$M:$M,Table5!$A:$A,$B13)*LOG10($F13)+SUMIFS(Table5!$N:$N,Table5!$A:$A,$B13)*LOG10(L13)+LOG10(1/$AD13))</f>
        <v>35.545858266864073</v>
      </c>
      <c r="AI13" s="39">
        <f t="shared" si="28"/>
        <v>34.322499658032882</v>
      </c>
      <c r="AJ13" s="39">
        <f t="shared" si="29"/>
        <v>27.494746634091463</v>
      </c>
      <c r="AK13" s="39">
        <f t="shared" si="30"/>
        <v>22.747832626970286</v>
      </c>
      <c r="AL13" s="40">
        <f t="shared" si="31"/>
        <v>27.494746634091463</v>
      </c>
      <c r="AM13" s="42">
        <f>10^((SUMIFS(Table3!$B:$B,Table3!$A:$A,$B13)+SUMIFS(Table3!$C:$C,Table3!$A:$A,$B13)*LOG10($E13)+(SUMIFS(Table3!$D:$D,Table3!$A:$A,$B13)*$J13)/(SUMIFS(Table3!$E:$E,Table3!$A:$A,$B13)*$D13^7+SUMIFS(Table3!$F:$F,Table3!$A:$A,$B13)*$D13^6+SUMIFS(Table3!$G:$G,Table3!$A:$A,$B13)*$D13^5+SUMIFS(Table3!$H:$H,Table3!$A:$A,$B13)*$D13^4+SUMIFS(Table3!$I:$I,Table3!$A:$A,$B13)*$D13^3+SUMIFS(Table3!$J:$J,Table3!$A:$A,$B13)*$D13^2+SUMIFS(Table3!$K:$K,Table3!$A:$A,$B13)*$D13)+SUMIFS(Table3!$L:$L,Table3!$A:$A,$B13)*LOG10($D13)+SUMIFS(Table3!$N:$N,Table3!$A:$A,$B13)*LOG10(P13)+LOG10(1/$AD13)-LOG10(20/Q13))/-SUMIFS(Table3!$M:$M,Table3!$A:$A,$B13))</f>
        <v>1799.4554941721935</v>
      </c>
      <c r="AN13" s="42">
        <f>10^((SUMIFS(Table3!$B:$B,Table3!$A:$A,$B13)+SUMIFS(Table3!$C:$C,Table3!$A:$A,$B13)*LOG10($E13)+(SUMIFS(Table3!$D:$D,Table3!$A:$A,$B13)*J13)/(SUMIFS(Table3!$E:$E,Table3!$A:$A,$B13)*$D13^7+SUMIFS(Table3!$F:$F,Table3!$A:$A,$B13)*$D13^6+SUMIFS(Table3!$G:$G,Table3!$A:$A,$B13)*$D13^5+SUMIFS(Table3!$H:$H,Table3!$A:$A,$B13)*$D13^4+SUMIFS(Table3!$I:$I,Table3!$A:$A,$B13)*$D13^3+SUMIFS(Table3!$J:$J,Table3!$A:$A,$B13)*$D13^2+SUMIFS(Table3!$K:$K,Table3!$A:$A,$B13)*$D13)+SUMIFS(Table3!$L:$L,Table3!$A:$A,$B13)*LOG10($D13)+SUMIFS(Table3!$N:$N,Table3!$A:$A,$B13)*LOG10(J13)+LOG10(1/$AD13)-LOG10(20/Q13))/-SUMIFS(Table3!$M:$M,Table3!$A:$A,$B13))</f>
        <v>1665.0721628893682</v>
      </c>
      <c r="AO13" s="42">
        <f>10^((SUMIFS(Table4!$B:$B,Table4!$A:$A,$B13)+SUMIFS(Table4!$C:$C,Table4!$A:$A,$B13)*LOG10($E13)+(SUMIFS(Table4!$D:$D,Table4!$A:$A,$B13)*K13)/(SUMIFS(Table4!$E:$E,Table4!$A:$A,$B13)*$D13^7+SUMIFS(Table4!$F:$F,Table4!$A:$A,$B13)*$D13^6+SUMIFS(Table4!$G:$G,Table4!$A:$A,$B13)*$D13^5+SUMIFS(Table4!$H:$H,Table4!$A:$A,$B13)*$D13^4+SUMIFS(Table4!$I:$I,Table4!$A:$A,$B13)*$D13^3+SUMIFS(Table4!$J:$J,Table4!$A:$A,$B13)*$D13^2+SUMIFS(Table4!$K:$K,Table4!$A:$A,$B13)*$D13)+SUMIFS(Table4!$L:$L,Table4!$A:$A,$B13)*LOG10($D13)+SUMIFS(Table4!$N:$N,Table4!$A:$A,$B13)*LOG10(K13)+LOG10(1/$AD13)-LOG10(20/Q13))/-SUMIFS(Table4!$M:$M,Table4!$A:$A,$B13))</f>
        <v>2367.6721302616938</v>
      </c>
      <c r="AP13" s="42">
        <f>10^((SUMIFS(Table5!$B:$B,Table5!$A:$A,$B13)+SUMIFS(Table5!$C:$C,Table5!$A:$A,$B13)*LOG10($E13)+(SUMIFS(Table5!$D:$D,Table5!$A:$A,$B13)*L13)/(SUMIFS(Table5!$E:$E,Table5!$A:$A,$B13)*$D13^7+SUMIFS(Table5!$F:$F,Table5!$A:$A,$B13)*$D13^6+SUMIFS(Table5!$G:$G,Table5!$A:$A,$B13)*$D13^5+SUMIFS(Table5!$H:$H,Table5!$A:$A,$B13)*$D13^4+SUMIFS(Table5!$I:$I,Table5!$A:$A,$B13)*$D13^3+SUMIFS(Table5!$J:$J,Table5!$A:$A,$B13)*$D13^2+SUMIFS(Table5!$K:$K,Table5!$A:$A,$B13)*$D13)+SUMIFS(Table5!$L:$L,Table5!$A:$A,$B13)*LOG10($D13)+SUMIFS(Table5!$N:$N,Table5!$A:$A,$B13)*LOG10(L13)+LOG10(1/$AD13)-LOG10(20/Q13))/-SUMIFS(Table5!$M:$M,Table5!$A:$A,$B13))</f>
        <v>2937.6719151018792</v>
      </c>
      <c r="AQ13" s="42">
        <f t="shared" si="32"/>
        <v>2856.1463932919773</v>
      </c>
      <c r="AR13" s="42">
        <f t="shared" si="33"/>
        <v>2439.4134824915791</v>
      </c>
      <c r="AS13" s="42">
        <f t="shared" si="34"/>
        <v>2149.6848873636827</v>
      </c>
      <c r="AT13" s="43">
        <f t="shared" si="35"/>
        <v>2439.4134824915791</v>
      </c>
      <c r="AU13" s="39">
        <f>SUMIFS(Table2!$B:$B,Table2!$A:$A,$B13)*$C13^6+SUMIFS(Table2!$C:$C,Table2!$A:$A,$B13)*$C13^5+SUMIFS(Table2!$D:$D,Table2!$A:$A,$B13)*$C13^4+SUMIFS(Table2!$E:$E,Table2!$A:$A,$B13)*$C13^3+SUMIFS(Table2!$F:$F,Table2!$A:$A,$B13)*$C13^2+SUMIFS(Table2!$G:$G,Table2!$A:$A,$B13)*$C13+SUMIFS(Table2!$H:$H,Table2!$A:$A,$B13)</f>
        <v>4.3272311661777918E-2</v>
      </c>
      <c r="AV13" s="39">
        <f t="shared" si="36"/>
        <v>0.97836384416911104</v>
      </c>
      <c r="AW13" s="39">
        <f t="shared" si="37"/>
        <v>8.6059660157894271</v>
      </c>
      <c r="AX13" s="39">
        <f t="shared" si="38"/>
        <v>9.5895675127975526</v>
      </c>
      <c r="AY13" s="39">
        <f t="shared" si="39"/>
        <v>10.337505015084259</v>
      </c>
      <c r="AZ13" s="39">
        <f t="shared" si="40"/>
        <v>10.27340474405082</v>
      </c>
      <c r="BA13" s="39">
        <f t="shared" si="41"/>
        <v>9.6837044742922593</v>
      </c>
      <c r="BB13" s="39">
        <f t="shared" si="42"/>
        <v>9.2737223819839247</v>
      </c>
      <c r="BC13" s="40">
        <f t="shared" si="43"/>
        <v>9.6837044742922593</v>
      </c>
      <c r="BD13" s="41">
        <v>380</v>
      </c>
      <c r="BE13" s="39">
        <f>(12.552/50)*BD13*10^(SUMIFS(Table3!$B:$B,Table3!$A:$A,$B13)+SUMIFS(Table3!$C:$C,Table3!$A:$A,$B13)*LOG10($E13)+SUMIFS(Table3!$D:$D,Table3!$A:$A,$B13)*$J13/(SUMIFS(Table3!$E:$E,Table3!$A:$A,$B13)*$D13^7+SUMIFS(Table3!$F:$F,Table3!$A:$A,$B13)*$D13^6+SUMIFS(Table3!$G:$G,Table3!$A:$A,$B13)*$D13^5+SUMIFS(Table3!$H:$H,Table3!$A:$A,$B13)*$D13^4+SUMIFS(Table3!$I:$I,Table3!$A:$A,$B13)*$D13^3+SUMIFS(Table3!$J:$J,Table3!$A:$A,$B13)*$D13^2+SUMIFS(Table3!$K:$K,Table3!$A:$A,$B13)*$D13)+SUMIFS(Table3!$L:$L,Table3!$A:$A,$B13)*LOG10($D13)+SUMIFS(Table3!$M:$M,Table3!$A:$A,$B13)*LOG10($F13)+SUMIFS(Table3!$N:$N,Table3!$A:$A,$B13)*LOG10(BC13)+LOG10(1/$AD13))</f>
        <v>16.646511762440475</v>
      </c>
      <c r="BF13" s="39">
        <f>(12.552/50)*BD13*10^(SUMIFS(Table3!$B:$B,Table3!$A:$A,$B13)+SUMIFS(Table3!$C:$C,Table3!$A:$A,$B13)*LOG10($E13)+SUMIFS(Table3!$D:$D,Table3!$A:$A,$B13)*AW13/(SUMIFS(Table3!$E:$E,Table3!$A:$A,$B13)*$D13^7+SUMIFS(Table3!$F:$F,Table3!$A:$A,$B13)*$D13^6+SUMIFS(Table3!$G:$G,Table3!$A:$A,$B13)*$D13^5+SUMIFS(Table3!$H:$H,Table3!$A:$A,$B13)*$D13^4+SUMIFS(Table3!$I:$I,Table3!$A:$A,$B13)*$D13^3+SUMIFS(Table3!$J:$J,Table3!$A:$A,$B13)*$D13^2+SUMIFS(Table3!$K:$K,Table3!$A:$A,$B13)*$D13)+SUMIFS(Table3!$L:$L,Table3!$A:$A,$B13)*LOG10($D13)+SUMIFS(Table3!$M:$M,Table3!$A:$A,$B13)*LOG10($F13)+SUMIFS(Table3!$N:$N,Table3!$A:$A,$B13)*LOG10(AW13)+LOG10(1/$AD13))</f>
        <v>14.517368367211724</v>
      </c>
      <c r="BG13" s="39">
        <f>(12.552/50)*BD13*10^(SUMIFS(Table4!$B:$B,Table4!$A:$A,$B13)+SUMIFS(Table4!$C:$C,Table4!$A:$A,$B13)*LOG10($E13)+SUMIFS(Table4!$D:$D,Table4!$A:$A,$B13)*AX13/(SUMIFS(Table4!$E:$E,Table4!$A:$A,$B13)*$D13^7+SUMIFS(Table4!$F:$F,Table4!$A:$A,$B13)*$D13^6+SUMIFS(Table4!$G:$G,Table4!$A:$A,$B13)*$D13^5+SUMIFS(Table4!$H:$H,Table4!$A:$A,$B13)*$D13^4+SUMIFS(Table4!$I:$I,Table4!$A:$A,$B13)*$D13^3+SUMIFS(Table4!$J:$J,Table4!$A:$A,$B13)*$D13^2+SUMIFS(Table4!$K:$K,Table4!$A:$A,$B13)*$D13)+SUMIFS(Table4!$L:$L,Table4!$A:$A,$B13)*LOG10($D13)+SUMIFS(Table4!$M:$M,Table4!$A:$A,$B13)*LOG10($F13)+SUMIFS(Table4!$N:$N,Table4!$A:$A,$B13)*LOG10(AX13)+LOG10(1/$AD13))</f>
        <v>26.616291349469115</v>
      </c>
      <c r="BH13" s="39">
        <f>(12.552/50)*BD13*10^(SUMIFS(Table5!$B:$B,Table5!$A:$A,$B13)+SUMIFS(Table5!$C:$C,Table5!$A:$A,$B13)*LOG10($E13)+SUMIFS(Table5!$D:$D,Table5!$A:$A,$B13)*AY13/(SUMIFS(Table5!$E:$E,Table5!$A:$A,$B13)*$D13^7+SUMIFS(Table5!$F:$F,Table5!$A:$A,$B13)*$D13^6+SUMIFS(Table5!$G:$G,Table5!$A:$A,$B13)*$D13^5+SUMIFS(Table5!$H:$H,Table5!$A:$A,$B13)*$D13^4+SUMIFS(Table5!$I:$I,Table5!$A:$A,$B13)*$D13^3+SUMIFS(Table5!$J:$J,Table5!$A:$A,$B13)*$D13^2+SUMIFS(Table5!$K:$K,Table5!$A:$A,$B13)*$D13)+SUMIFS(Table5!$L:$L,Table5!$A:$A,$B13)*LOG10($D13)+SUMIFS(Table5!$M:$M,Table5!$A:$A,$B13)*LOG10($F13)+SUMIFS(Table5!$N:$N,Table5!$A:$A,$B13)*LOG10(AY13)+LOG10(1/$AD13))</f>
        <v>35.771615220365781</v>
      </c>
      <c r="BI13" s="39">
        <f t="shared" si="44"/>
        <v>35.027923518086155</v>
      </c>
      <c r="BJ13" s="39">
        <f t="shared" si="45"/>
        <v>27.768599353909558</v>
      </c>
      <c r="BK13" s="39">
        <f t="shared" si="46"/>
        <v>22.721640649291547</v>
      </c>
      <c r="BL13" s="40">
        <f t="shared" si="47"/>
        <v>27.768599353909558</v>
      </c>
      <c r="BM13" s="42">
        <f>10^((SUMIFS(Table3!$B:$B,Table3!$A:$A,$B13)+SUMIFS(Table3!$C:$C,Table3!$A:$A,$B13)*LOG10($E13)+(SUMIFS(Table3!$D:$D,Table3!$A:$A,$B13)*$J13)/(SUMIFS(Table3!$E:$E,Table3!$A:$A,$B13)*$D13^7+SUMIFS(Table3!$F:$F,Table3!$A:$A,$B13)*$D13^6+SUMIFS(Table3!$G:$G,Table3!$A:$A,$B13)*$D13^5+SUMIFS(Table3!$H:$H,Table3!$A:$A,$B13)*$D13^4+SUMIFS(Table3!$I:$I,Table3!$A:$A,$B13)*$D13^3+SUMIFS(Table3!$J:$J,Table3!$A:$A,$B13)*$D13^2+SUMIFS(Table3!$K:$K,Table3!$A:$A,$B13)*$D13)+SUMIFS(Table3!$L:$L,Table3!$A:$A,$B13)*LOG10($D13)+SUMIFS(Table3!$N:$N,Table3!$A:$A,$B13)*LOG10(BC13)+LOG10(1/$AD13)-LOG10(20/BD13))/-SUMIFS(Table3!$M:$M,Table3!$A:$A,$B13))</f>
        <v>1773.7485785797344</v>
      </c>
      <c r="BN13" s="42">
        <f>10^((SUMIFS(Table3!$B:$B,Table3!$A:$A,$B13)+SUMIFS(Table3!$C:$C,Table3!$A:$A,$B13)*LOG10($E13)+(SUMIFS(Table3!$D:$D,Table3!$A:$A,$B13)*AW13)/(SUMIFS(Table3!$E:$E,Table3!$A:$A,$B13)*$D13^7+SUMIFS(Table3!$F:$F,Table3!$A:$A,$B13)*$D13^6+SUMIFS(Table3!$G:$G,Table3!$A:$A,$B13)*$D13^5+SUMIFS(Table3!$H:$H,Table3!$A:$A,$B13)*$D13^4+SUMIFS(Table3!$I:$I,Table3!$A:$A,$B13)*$D13^3+SUMIFS(Table3!$J:$J,Table3!$A:$A,$B13)*$D13^2+SUMIFS(Table3!$K:$K,Table3!$A:$A,$B13)*$D13)+SUMIFS(Table3!$L:$L,Table3!$A:$A,$B13)*LOG10($D13)+SUMIFS(Table3!$N:$N,Table3!$A:$A,$B13)*LOG10(AW13)+LOG10(1/$AD13)-LOG10(20/BD13))/-SUMIFS(Table3!$M:$M,Table3!$A:$A,$B13))</f>
        <v>1644.5106905033945</v>
      </c>
      <c r="BO13" s="42">
        <f>10^((SUMIFS(Table4!$B:$B,Table4!$A:$A,$B13)+SUMIFS(Table4!$C:$C,Table4!$A:$A,$B13)*LOG10($E13)+(SUMIFS(Table4!$D:$D,Table4!$A:$A,$B13)*AX13)/(SUMIFS(Table4!$E:$E,Table4!$A:$A,$B13)*$D13^7+SUMIFS(Table4!$F:$F,Table4!$A:$A,$B13)*$D13^6+SUMIFS(Table4!$G:$G,Table4!$A:$A,$B13)*$D13^5+SUMIFS(Table4!$H:$H,Table4!$A:$A,$B13)*$D13^4+SUMIFS(Table4!$I:$I,Table4!$A:$A,$B13)*$D13^3+SUMIFS(Table4!$J:$J,Table4!$A:$A,$B13)*$D13^2+SUMIFS(Table4!$K:$K,Table4!$A:$A,$B13)*$D13)+SUMIFS(Table4!$L:$L,Table4!$A:$A,$B13)*LOG10($D13)+SUMIFS(Table4!$N:$N,Table4!$A:$A,$B13)*LOG10(AX13)+LOG10(1/$AD13)-LOG10(20/BD13))/-SUMIFS(Table4!$M:$M,Table4!$A:$A,$B13))</f>
        <v>2382.1302575181276</v>
      </c>
      <c r="BP13" s="42">
        <f>10^((SUMIFS(Table5!$B:$B,Table5!$A:$A,$B13)+SUMIFS(Table5!$C:$C,Table5!$A:$A,$B13)*LOG10($E13)+(SUMIFS(Table5!$D:$D,Table5!$A:$A,$B13)*AY13)/(SUMIFS(Table5!$E:$E,Table5!$A:$A,$B13)*$D13^7+SUMIFS(Table5!$F:$F,Table5!$A:$A,$B13)*$D13^6+SUMIFS(Table5!$G:$G,Table5!$A:$A,$B13)*$D13^5+SUMIFS(Table5!$H:$H,Table5!$A:$A,$B13)*$D13^4+SUMIFS(Table5!$I:$I,Table5!$A:$A,$B13)*$D13^3+SUMIFS(Table5!$J:$J,Table5!$A:$A,$B13)*$D13^2+SUMIFS(Table5!$K:$K,Table5!$A:$A,$B13)*$D13)+SUMIFS(Table5!$L:$L,Table5!$A:$A,$B13)*LOG10($D13)+SUMIFS(Table5!$N:$N,Table5!$A:$A,$B13)*LOG10(AY13)+LOG10(1/$AD13)-LOG10(20/BD13))/-SUMIFS(Table5!$M:$M,Table5!$A:$A,$B13))</f>
        <v>2948.7832669609784</v>
      </c>
      <c r="BQ13" s="42">
        <f t="shared" si="48"/>
        <v>2894.9514802997992</v>
      </c>
      <c r="BR13" s="42">
        <f t="shared" si="49"/>
        <v>2453.4503776721413</v>
      </c>
      <c r="BS13" s="42">
        <f t="shared" si="50"/>
        <v>2146.5019920357699</v>
      </c>
      <c r="BT13" s="43">
        <f t="shared" si="51"/>
        <v>2453.4503776721413</v>
      </c>
    </row>
    <row r="14" spans="1:72" x14ac:dyDescent="0.2">
      <c r="A14" s="46" t="s">
        <v>181</v>
      </c>
      <c r="B14" s="76" t="s">
        <v>13</v>
      </c>
      <c r="C14" s="41">
        <v>0.48</v>
      </c>
      <c r="D14" s="41">
        <v>32.158000000000001</v>
      </c>
      <c r="E14" s="41">
        <v>32</v>
      </c>
      <c r="F14" s="41">
        <v>609.6</v>
      </c>
      <c r="G14" s="41">
        <v>800</v>
      </c>
      <c r="H14" s="41">
        <v>750</v>
      </c>
      <c r="I14" s="41">
        <v>500</v>
      </c>
      <c r="J14" s="39">
        <f>10^(SUMIFS(Table1!$C:$C,Table1!$B:$B,600,Table1!$A:$A,$B14)+SUMIFS(Table1!$D:$D,Table1!$B:$B,600,Table1!$A:$A,$B14)*LOG10($D14)+SUMIFS(Table1!$E:$E,Table1!$B:$B,600,Table1!$A:$A,$B14)*LOG10($E14))*(SUMIFS(Table1!$F:$F,Table1!$B:$B,600,Table1!$A:$A,$B14)*$D14^6+SUMIFS(Table1!$G:$G,Table1!$B:$B,600,Table1!$A:$A,$B14)*$D14^5+SUMIFS(Table1!$H:$H,Table1!$B:$B,600,Table1!$A:$A,$B14)*$D14^4+SUMIFS(Table1!$I:$I,Table1!$B:$B,600,Table1!$A:$A,$B14)*$D14^3+SUMIFS(Table1!$J:$J,Table1!$B:$B,600,Table1!$A:$A,$B14)*$D14^2+SUMIFS(Table1!$K:$K,Table1!$B:$B,600,Table1!$A:$A,$B14)*$D14+SUMIFS(Table1!$L:$L,Table1!$B:$B,600,Table1!$A:$A,$B14))</f>
        <v>27.165173934384562</v>
      </c>
      <c r="K14" s="39">
        <f>10^(SUMIFS(Table1!$C:$C,Table1!$B:$B,2700,Table1!$A:$A,$B14)+SUMIFS(Table1!$D:$D,Table1!$B:$B,2700,Table1!$A:$A,$B14)*LOG10($D14)+SUMIFS(Table1!$E:$E,Table1!$B:$B,2700,Table1!$A:$A,$B14)*LOG10($E14))*(SUMIFS(Table1!$F:$F,Table1!$B:$B,2700,Table1!$A:$A,$B14)*$D14^6+SUMIFS(Table1!$G:$G,Table1!$B:$B,2700,Table1!$A:$A,$B14)*$D14^5+SUMIFS(Table1!$H:$H,Table1!$B:$B,2700,Table1!$A:$A,$B14)*$D14^4+SUMIFS(Table1!$I:$I,Table1!$B:$B,2700,Table1!$A:$A,$B14)*$D14^3+SUMIFS(Table1!$J:$J,Table1!$B:$B,2700,Table1!$A:$A,$B14)*$D14^2+SUMIFS(Table1!$K:$K,Table1!$B:$B,2700,Table1!$A:$A,$B14)*$D14+SUMIFS(Table1!$L:$L,Table1!$B:$B,2700,Table1!$A:$A,$B14))</f>
        <v>28.494531927955716</v>
      </c>
      <c r="L14" s="39">
        <f>10^(SUMIFS(Table1!$C:$C,Table1!$B:$B,14300,Table1!$A:$A,$B14)+SUMIFS(Table1!$D:$D,Table1!$B:$B,14300,Table1!$A:$A,$B14)*LOG10($D14)+SUMIFS(Table1!$E:$E,Table1!$B:$B,14300,Table1!$A:$A,$B14)*LOG10($E14))*(SUMIFS(Table1!$F:$F,Table1!$B:$B,14300,Table1!$A:$A,$B14)*$D14^6+SUMIFS(Table1!$G:$G,Table1!$B:$B,14300,Table1!$A:$A,$B14)*$D14^5+SUMIFS(Table1!$H:$H,Table1!$B:$B,14300,Table1!$A:$A,$B14)*$D14^4+SUMIFS(Table1!$I:$I,Table1!$B:$B,14300,Table1!$A:$A,$B14)*$D14^3+SUMIFS(Table1!$J:$J,Table1!$B:$B,14300,Table1!$A:$A,$B14)*$D14^2+SUMIFS(Table1!$K:$K,Table1!$B:$B,14300,Table1!$A:$A,$B14)*$D14+SUMIFS(Table1!$L:$L,Table1!$B:$B,14300,Table1!$A:$A,$B14))</f>
        <v>31.127033833643445</v>
      </c>
      <c r="M14" s="39">
        <f t="shared" si="0"/>
        <v>27.089210620466211</v>
      </c>
      <c r="N14" s="39">
        <f t="shared" si="1"/>
        <v>27.990725528763754</v>
      </c>
      <c r="O14" s="39">
        <f t="shared" si="2"/>
        <v>27.037695482849209</v>
      </c>
      <c r="P14" s="40">
        <f t="shared" si="52"/>
        <v>25.210200987164171</v>
      </c>
      <c r="Q14" s="41">
        <v>350</v>
      </c>
      <c r="R14" s="45" t="str">
        <f t="shared" si="3"/>
        <v>Typical</v>
      </c>
      <c r="S14" s="36">
        <f t="shared" si="4"/>
        <v>10</v>
      </c>
      <c r="T14" s="36">
        <f t="shared" si="5"/>
        <v>24</v>
      </c>
      <c r="U14" s="36">
        <f t="shared" si="6"/>
        <v>800</v>
      </c>
      <c r="V14" s="36">
        <f>(660.4+($U14-660.4)*($C14+$S14)/$T14)*(1/25.4)</f>
        <v>28.399947506561677</v>
      </c>
      <c r="W14" s="36">
        <f t="shared" si="7"/>
        <v>750</v>
      </c>
      <c r="X14" s="36">
        <f>(660.4+($W14-660.4)*($C14+$S14)/$T14)*(1/25.4)</f>
        <v>27.540367454068239</v>
      </c>
      <c r="Y14" s="37">
        <f>IF($G14&lt;508,IF($R14="Typical",20,0.03937*$G14),IF($G14&lt;=660.4,0.03937*$G14,IF($G14&lt;=1244.6,$V14,$V14)))</f>
        <v>28.399947506561677</v>
      </c>
      <c r="Z14" s="37">
        <f>IF($H14&lt;508,IF($R14="Typical",20,0.03937*$H14),IF($H14&lt;=660.4,0.03937*$H14,IF($H14&lt;=1244.6,IF($B14="VCB",0.03937*$H14,$X14),IF($B14="VCB",49,$X14))))</f>
        <v>27.540367454068239</v>
      </c>
      <c r="AA14" s="39">
        <f>(Z14+Y14)/2</f>
        <v>27.97015748031496</v>
      </c>
      <c r="AB14" s="38">
        <f>SUMIFS(Table7!C:C,Table7!A:A,"Typical",Table7!B:B,$B14)*$AA14^2+SUMIFS(Table7!D:D,Table7!A:A,"Typical",Table7!B:B,$B14)*$AA14+SUMIFS(Table7!E:E,Table7!A:A,"Typical",Table7!B:B,$B14)</f>
        <v>1.1412237178307296</v>
      </c>
      <c r="AC14" s="38">
        <f>1/(SUMIFS(Table7!C:C,Table7!A:A,"Shallow",Table7!B:B,$B14)*$AA14^2+SUMIFS(Table7!D:D,Table7!A:A,"Shallow",Table7!B:B,$B14)*$AA14+SUMIFS(Table7!E:E,Table7!A:A,"Shallow",Table7!B:B,$B14))</f>
        <v>1.1254608998609272</v>
      </c>
      <c r="AD14" s="39">
        <f>IF(R14="Typical",AB14,AC14)</f>
        <v>1.1412237178307296</v>
      </c>
      <c r="AE14" s="39">
        <f>(12.552/50)*Q14*10^(SUMIFS(Table3!$B:$B,Table3!$A:$A,$B14)+SUMIFS(Table3!$C:$C,Table3!$A:$A,$B14)*LOG10($E14)+SUMIFS(Table3!$D:$D,Table3!$A:$A,$B14)*$J14/(SUMIFS(Table3!$E:$E,Table3!$A:$A,$B14)*$D14^7+SUMIFS(Table3!$F:$F,Table3!$A:$A,$B14)*$D14^6+SUMIFS(Table3!$G:$G,Table3!$A:$A,$B14)*$D14^5+SUMIFS(Table3!$H:$H,Table3!$A:$A,$B14)*$D14^4+SUMIFS(Table3!$I:$I,Table3!$A:$A,$B14)*$D14^3+SUMIFS(Table3!$J:$J,Table3!$A:$A,$B14)*$D14^2+SUMIFS(Table3!$K:$K,Table3!$A:$A,$B14)*$D14)+SUMIFS(Table3!$L:$L,Table3!$A:$A,$B14)*LOG10($D14)+SUMIFS(Table3!$M:$M,Table3!$A:$A,$B14)*LOG10($F14)+SUMIFS(Table3!$N:$N,Table3!$A:$A,$B14)*LOG10(P14)+LOG10(1/$AD14))</f>
        <v>64.802657902000547</v>
      </c>
      <c r="AF14" s="39">
        <f>(12.552/50)*Q14*10^(SUMIFS(Table3!$B:$B,Table3!$A:$A,$B14)+SUMIFS(Table3!$C:$C,Table3!$A:$A,$B14)*LOG10($E14)+SUMIFS(Table3!$D:$D,Table3!$A:$A,$B14)*J14/(SUMIFS(Table3!$E:$E,Table3!$A:$A,$B14)*$D14^7+SUMIFS(Table3!$F:$F,Table3!$A:$A,$B14)*$D14^6+SUMIFS(Table3!$G:$G,Table3!$A:$A,$B14)*$D14^5+SUMIFS(Table3!$H:$H,Table3!$A:$A,$B14)*$D14^4+SUMIFS(Table3!$I:$I,Table3!$A:$A,$B14)*$D14^3+SUMIFS(Table3!$J:$J,Table3!$A:$A,$B14)*$D14^2+SUMIFS(Table3!$K:$K,Table3!$A:$A,$B14)*$D14)+SUMIFS(Table3!$L:$L,Table3!$A:$A,$B14)*LOG10($D14)+SUMIFS(Table3!$M:$M,Table3!$A:$A,$B14)*LOG10($F14)+SUMIFS(Table3!$N:$N,Table3!$A:$A,$B14)*LOG10(J14)+LOG10(1/$AD14))</f>
        <v>70.825863088231017</v>
      </c>
      <c r="AG14" s="39">
        <f>(12.552/50)*Q14*10^(SUMIFS(Table4!$B:$B,Table4!$A:$A,$B14)+SUMIFS(Table4!$C:$C,Table4!$A:$A,$B14)*LOG10($E14)+SUMIFS(Table4!$D:$D,Table4!$A:$A,$B14)*K14/(SUMIFS(Table4!$E:$E,Table4!$A:$A,$B14)*$D14^7+SUMIFS(Table4!$F:$F,Table4!$A:$A,$B14)*$D14^6+SUMIFS(Table4!$G:$G,Table4!$A:$A,$B14)*$D14^5+SUMIFS(Table4!$H:$H,Table4!$A:$A,$B14)*$D14^4+SUMIFS(Table4!$I:$I,Table4!$A:$A,$B14)*$D14^3+SUMIFS(Table4!$J:$J,Table4!$A:$A,$B14)*$D14^2+SUMIFS(Table4!$K:$K,Table4!$A:$A,$B14)*$D14)+SUMIFS(Table4!$L:$L,Table4!$A:$A,$B14)*LOG10($D14)+SUMIFS(Table4!$M:$M,Table4!$A:$A,$B14)*LOG10($F14)+SUMIFS(Table4!$N:$N,Table4!$A:$A,$B14)*LOG10(K14)+LOG10(1/$AD14))</f>
        <v>117.99215094284096</v>
      </c>
      <c r="AH14" s="39">
        <f>(12.552/50)*Q14*10^(SUMIFS(Table5!$B:$B,Table5!$A:$A,$B14)+SUMIFS(Table5!$C:$C,Table5!$A:$A,$B14)*LOG10($E14)+SUMIFS(Table5!$D:$D,Table5!$A:$A,$B14)*L14/(SUMIFS(Table5!$E:$E,Table5!$A:$A,$B14)*$D14^7+SUMIFS(Table5!$F:$F,Table5!$A:$A,$B14)*$D14^6+SUMIFS(Table5!$G:$G,Table5!$A:$A,$B14)*$D14^5+SUMIFS(Table5!$H:$H,Table5!$A:$A,$B14)*$D14^4+SUMIFS(Table5!$I:$I,Table5!$A:$A,$B14)*$D14^3+SUMIFS(Table5!$J:$J,Table5!$A:$A,$B14)*$D14^2+SUMIFS(Table5!$K:$K,Table5!$A:$A,$B14)*$D14)+SUMIFS(Table5!$L:$L,Table5!$A:$A,$B14)*LOG10($D14)+SUMIFS(Table5!$M:$M,Table5!$A:$A,$B14)*LOG10($F14)+SUMIFS(Table5!$N:$N,Table5!$A:$A,$B14)*LOG10(L14)+LOG10(1/$AD14))</f>
        <v>144.76883196676636</v>
      </c>
      <c r="AI14" s="39">
        <f t="shared" si="28"/>
        <v>68.130646639396161</v>
      </c>
      <c r="AJ14" s="39">
        <f t="shared" si="29"/>
        <v>112.86764819515869</v>
      </c>
      <c r="AK14" s="39">
        <f t="shared" si="30"/>
        <v>65.574246550495459</v>
      </c>
      <c r="AL14" s="40">
        <f t="shared" si="31"/>
        <v>64.802657902000547</v>
      </c>
      <c r="AM14" s="42">
        <f>10^((SUMIFS(Table3!$B:$B,Table3!$A:$A,$B14)+SUMIFS(Table3!$C:$C,Table3!$A:$A,$B14)*LOG10($E14)+(SUMIFS(Table3!$D:$D,Table3!$A:$A,$B14)*$J14)/(SUMIFS(Table3!$E:$E,Table3!$A:$A,$B14)*$D14^7+SUMIFS(Table3!$F:$F,Table3!$A:$A,$B14)*$D14^6+SUMIFS(Table3!$G:$G,Table3!$A:$A,$B14)*$D14^5+SUMIFS(Table3!$H:$H,Table3!$A:$A,$B14)*$D14^4+SUMIFS(Table3!$I:$I,Table3!$A:$A,$B14)*$D14^3+SUMIFS(Table3!$J:$J,Table3!$A:$A,$B14)*$D14^2+SUMIFS(Table3!$K:$K,Table3!$A:$A,$B14)*$D14)+SUMIFS(Table3!$L:$L,Table3!$A:$A,$B14)*LOG10($D14)+SUMIFS(Table3!$N:$N,Table3!$A:$A,$B14)*LOG10(P14)+LOG10(1/$AD14)-LOG10(20/Q14))/-SUMIFS(Table3!$M:$M,Table3!$A:$A,$B14))</f>
        <v>2506.6682710246373</v>
      </c>
      <c r="AN14" s="42">
        <f>10^((SUMIFS(Table3!$B:$B,Table3!$A:$A,$B14)+SUMIFS(Table3!$C:$C,Table3!$A:$A,$B14)*LOG10($E14)+(SUMIFS(Table3!$D:$D,Table3!$A:$A,$B14)*J14)/(SUMIFS(Table3!$E:$E,Table3!$A:$A,$B14)*$D14^7+SUMIFS(Table3!$F:$F,Table3!$A:$A,$B14)*$D14^6+SUMIFS(Table3!$G:$G,Table3!$A:$A,$B14)*$D14^5+SUMIFS(Table3!$H:$H,Table3!$A:$A,$B14)*$D14^4+SUMIFS(Table3!$I:$I,Table3!$A:$A,$B14)*$D14^3+SUMIFS(Table3!$J:$J,Table3!$A:$A,$B14)*$D14^2+SUMIFS(Table3!$K:$K,Table3!$A:$A,$B14)*$D14)+SUMIFS(Table3!$L:$L,Table3!$A:$A,$B14)*LOG10($D14)+SUMIFS(Table3!$N:$N,Table3!$A:$A,$B14)*LOG10(J14)+LOG10(1/$AD14)-LOG10(20/Q14))/-SUMIFS(Table3!$M:$M,Table3!$A:$A,$B14))</f>
        <v>2632.8983842810821</v>
      </c>
      <c r="AO14" s="42">
        <f>10^((SUMIFS(Table4!$B:$B,Table4!$A:$A,$B14)+SUMIFS(Table4!$C:$C,Table4!$A:$A,$B14)*LOG10($E14)+(SUMIFS(Table4!$D:$D,Table4!$A:$A,$B14)*K14)/(SUMIFS(Table4!$E:$E,Table4!$A:$A,$B14)*$D14^7+SUMIFS(Table4!$F:$F,Table4!$A:$A,$B14)*$D14^6+SUMIFS(Table4!$G:$G,Table4!$A:$A,$B14)*$D14^5+SUMIFS(Table4!$H:$H,Table4!$A:$A,$B14)*$D14^4+SUMIFS(Table4!$I:$I,Table4!$A:$A,$B14)*$D14^3+SUMIFS(Table4!$J:$J,Table4!$A:$A,$B14)*$D14^2+SUMIFS(Table4!$K:$K,Table4!$A:$A,$B14)*$D14)+SUMIFS(Table4!$L:$L,Table4!$A:$A,$B14)*LOG10($D14)+SUMIFS(Table4!$N:$N,Table4!$A:$A,$B14)*LOG10(K14)+LOG10(1/$AD14)-LOG10(20/Q14))/-SUMIFS(Table4!$M:$M,Table4!$A:$A,$B14))</f>
        <v>3733.5107114979673</v>
      </c>
      <c r="AP14" s="42">
        <f>10^((SUMIFS(Table5!$B:$B,Table5!$A:$A,$B14)+SUMIFS(Table5!$C:$C,Table5!$A:$A,$B14)*LOG10($E14)+(SUMIFS(Table5!$D:$D,Table5!$A:$A,$B14)*L14)/(SUMIFS(Table5!$E:$E,Table5!$A:$A,$B14)*$D14^7+SUMIFS(Table5!$F:$F,Table5!$A:$A,$B14)*$D14^6+SUMIFS(Table5!$G:$G,Table5!$A:$A,$B14)*$D14^5+SUMIFS(Table5!$H:$H,Table5!$A:$A,$B14)*$D14^4+SUMIFS(Table5!$I:$I,Table5!$A:$A,$B14)*$D14^3+SUMIFS(Table5!$J:$J,Table5!$A:$A,$B14)*$D14^2+SUMIFS(Table5!$K:$K,Table5!$A:$A,$B14)*$D14)+SUMIFS(Table5!$L:$L,Table5!$A:$A,$B14)*LOG10($D14)+SUMIFS(Table5!$N:$N,Table5!$A:$A,$B14)*LOG10(L14)+LOG10(1/$AD14)-LOG10(20/Q14))/-SUMIFS(Table5!$M:$M,Table5!$A:$A,$B14))</f>
        <v>4524.6904729922053</v>
      </c>
      <c r="AQ14" s="42">
        <f t="shared" si="32"/>
        <v>2570.00625129726</v>
      </c>
      <c r="AR14" s="42">
        <f t="shared" si="33"/>
        <v>3582.095274384415</v>
      </c>
      <c r="AS14" s="42">
        <f t="shared" si="34"/>
        <v>2512.172592835137</v>
      </c>
      <c r="AT14" s="43">
        <f t="shared" si="35"/>
        <v>2506.6682710246373</v>
      </c>
      <c r="AU14" s="39">
        <f>SUMIFS(Table2!$B:$B,Table2!$A:$A,$B14)*$C14^6+SUMIFS(Table2!$C:$C,Table2!$A:$A,$B14)*$C14^5+SUMIFS(Table2!$D:$D,Table2!$A:$A,$B14)*$C14^4+SUMIFS(Table2!$E:$E,Table2!$A:$A,$B14)*$C14^3+SUMIFS(Table2!$F:$F,Table2!$A:$A,$B14)*$C14^2+SUMIFS(Table2!$G:$G,Table2!$A:$A,$B14)*$C14+SUMIFS(Table2!$H:$H,Table2!$A:$A,$B14)</f>
        <v>0.23674766277705805</v>
      </c>
      <c r="AV14" s="39">
        <f t="shared" si="36"/>
        <v>0.88162616861147103</v>
      </c>
      <c r="AW14" s="39">
        <f t="shared" si="37"/>
        <v>23.949528215435663</v>
      </c>
      <c r="AX14" s="39">
        <f t="shared" si="38"/>
        <v>25.121525010020832</v>
      </c>
      <c r="AY14" s="39">
        <f t="shared" si="39"/>
        <v>27.4424075789947</v>
      </c>
      <c r="AZ14" s="39">
        <f t="shared" si="40"/>
        <v>23.882556970030794</v>
      </c>
      <c r="BA14" s="39">
        <f t="shared" si="41"/>
        <v>24.677356104579282</v>
      </c>
      <c r="BB14" s="39">
        <f t="shared" si="42"/>
        <v>23.837139876628026</v>
      </c>
      <c r="BC14" s="40">
        <f t="shared" si="43"/>
        <v>22.225972906238674</v>
      </c>
      <c r="BD14" s="41">
        <v>350</v>
      </c>
      <c r="BE14" s="39">
        <f>(12.552/50)*BD14*10^(SUMIFS(Table3!$B:$B,Table3!$A:$A,$B14)+SUMIFS(Table3!$C:$C,Table3!$A:$A,$B14)*LOG10($E14)+SUMIFS(Table3!$D:$D,Table3!$A:$A,$B14)*$J14/(SUMIFS(Table3!$E:$E,Table3!$A:$A,$B14)*$D14^7+SUMIFS(Table3!$F:$F,Table3!$A:$A,$B14)*$D14^6+SUMIFS(Table3!$G:$G,Table3!$A:$A,$B14)*$D14^5+SUMIFS(Table3!$H:$H,Table3!$A:$A,$B14)*$D14^4+SUMIFS(Table3!$I:$I,Table3!$A:$A,$B14)*$D14^3+SUMIFS(Table3!$J:$J,Table3!$A:$A,$B14)*$D14^2+SUMIFS(Table3!$K:$K,Table3!$A:$A,$B14)*$D14)+SUMIFS(Table3!$L:$L,Table3!$A:$A,$B14)*LOG10($D14)+SUMIFS(Table3!$M:$M,Table3!$A:$A,$B14)*LOG10($F14)+SUMIFS(Table3!$N:$N,Table3!$A:$A,$B14)*LOG10(BC14)+LOG10(1/$AD14))</f>
        <v>55.780363652285423</v>
      </c>
      <c r="BF14" s="39">
        <f>(12.552/50)*BD14*10^(SUMIFS(Table3!$B:$B,Table3!$A:$A,$B14)+SUMIFS(Table3!$C:$C,Table3!$A:$A,$B14)*LOG10($E14)+SUMIFS(Table3!$D:$D,Table3!$A:$A,$B14)*AW14/(SUMIFS(Table3!$E:$E,Table3!$A:$A,$B14)*$D14^7+SUMIFS(Table3!$F:$F,Table3!$A:$A,$B14)*$D14^6+SUMIFS(Table3!$G:$G,Table3!$A:$A,$B14)*$D14^5+SUMIFS(Table3!$H:$H,Table3!$A:$A,$B14)*$D14^4+SUMIFS(Table3!$I:$I,Table3!$A:$A,$B14)*$D14^3+SUMIFS(Table3!$J:$J,Table3!$A:$A,$B14)*$D14^2+SUMIFS(Table3!$K:$K,Table3!$A:$A,$B14)*$D14)+SUMIFS(Table3!$L:$L,Table3!$A:$A,$B14)*LOG10($D14)+SUMIFS(Table3!$M:$M,Table3!$A:$A,$B14)*LOG10($F14)+SUMIFS(Table3!$N:$N,Table3!$A:$A,$B14)*LOG10(AW14)+LOG10(1/$AD14))</f>
        <v>62.206055298080223</v>
      </c>
      <c r="BG14" s="39">
        <f>(12.552/50)*BD14*10^(SUMIFS(Table4!$B:$B,Table4!$A:$A,$B14)+SUMIFS(Table4!$C:$C,Table4!$A:$A,$B14)*LOG10($E14)+SUMIFS(Table4!$D:$D,Table4!$A:$A,$B14)*AX14/(SUMIFS(Table4!$E:$E,Table4!$A:$A,$B14)*$D14^7+SUMIFS(Table4!$F:$F,Table4!$A:$A,$B14)*$D14^6+SUMIFS(Table4!$G:$G,Table4!$A:$A,$B14)*$D14^5+SUMIFS(Table4!$H:$H,Table4!$A:$A,$B14)*$D14^4+SUMIFS(Table4!$I:$I,Table4!$A:$A,$B14)*$D14^3+SUMIFS(Table4!$J:$J,Table4!$A:$A,$B14)*$D14^2+SUMIFS(Table4!$K:$K,Table4!$A:$A,$B14)*$D14)+SUMIFS(Table4!$L:$L,Table4!$A:$A,$B14)*LOG10($D14)+SUMIFS(Table4!$M:$M,Table4!$A:$A,$B14)*LOG10($F14)+SUMIFS(Table4!$N:$N,Table4!$A:$A,$B14)*LOG10(AX14)+LOG10(1/$AD14))</f>
        <v>124.39740550924661</v>
      </c>
      <c r="BH14" s="39">
        <f>(12.552/50)*BD14*10^(SUMIFS(Table5!$B:$B,Table5!$A:$A,$B14)+SUMIFS(Table5!$C:$C,Table5!$A:$A,$B14)*LOG10($E14)+SUMIFS(Table5!$D:$D,Table5!$A:$A,$B14)*AY14/(SUMIFS(Table5!$E:$E,Table5!$A:$A,$B14)*$D14^7+SUMIFS(Table5!$F:$F,Table5!$A:$A,$B14)*$D14^6+SUMIFS(Table5!$G:$G,Table5!$A:$A,$B14)*$D14^5+SUMIFS(Table5!$H:$H,Table5!$A:$A,$B14)*$D14^4+SUMIFS(Table5!$I:$I,Table5!$A:$A,$B14)*$D14^3+SUMIFS(Table5!$J:$J,Table5!$A:$A,$B14)*$D14^2+SUMIFS(Table5!$K:$K,Table5!$A:$A,$B14)*$D14)+SUMIFS(Table5!$L:$L,Table5!$A:$A,$B14)*LOG10($D14)+SUMIFS(Table5!$M:$M,Table5!$A:$A,$B14)*LOG10($F14)+SUMIFS(Table5!$N:$N,Table5!$A:$A,$B14)*LOG10(AY14)+LOG10(1/$AD14))</f>
        <v>149.41622939356111</v>
      </c>
      <c r="BI14" s="39">
        <f t="shared" si="44"/>
        <v>58.652263857442136</v>
      </c>
      <c r="BJ14" s="39">
        <f t="shared" si="45"/>
        <v>119.6093202486278</v>
      </c>
      <c r="BK14" s="39">
        <f t="shared" si="46"/>
        <v>55.169003492231532</v>
      </c>
      <c r="BL14" s="40">
        <f t="shared" si="47"/>
        <v>55.780363652285423</v>
      </c>
      <c r="BM14" s="42">
        <f>10^((SUMIFS(Table3!$B:$B,Table3!$A:$A,$B14)+SUMIFS(Table3!$C:$C,Table3!$A:$A,$B14)*LOG10($E14)+(SUMIFS(Table3!$D:$D,Table3!$A:$A,$B14)*$J14)/(SUMIFS(Table3!$E:$E,Table3!$A:$A,$B14)*$D14^7+SUMIFS(Table3!$F:$F,Table3!$A:$A,$B14)*$D14^6+SUMIFS(Table3!$G:$G,Table3!$A:$A,$B14)*$D14^5+SUMIFS(Table3!$H:$H,Table3!$A:$A,$B14)*$D14^4+SUMIFS(Table3!$I:$I,Table3!$A:$A,$B14)*$D14^3+SUMIFS(Table3!$J:$J,Table3!$A:$A,$B14)*$D14^2+SUMIFS(Table3!$K:$K,Table3!$A:$A,$B14)*$D14)+SUMIFS(Table3!$L:$L,Table3!$A:$A,$B14)*LOG10($D14)+SUMIFS(Table3!$N:$N,Table3!$A:$A,$B14)*LOG10(BC14)+LOG10(1/$AD14)-LOG10(20/BD14))/-SUMIFS(Table3!$M:$M,Table3!$A:$A,$B14))</f>
        <v>2307.2985123333019</v>
      </c>
      <c r="BN14" s="42">
        <f>10^((SUMIFS(Table3!$B:$B,Table3!$A:$A,$B14)+SUMIFS(Table3!$C:$C,Table3!$A:$A,$B14)*LOG10($E14)+(SUMIFS(Table3!$D:$D,Table3!$A:$A,$B14)*AW14)/(SUMIFS(Table3!$E:$E,Table3!$A:$A,$B14)*$D14^7+SUMIFS(Table3!$F:$F,Table3!$A:$A,$B14)*$D14^6+SUMIFS(Table3!$G:$G,Table3!$A:$A,$B14)*$D14^5+SUMIFS(Table3!$H:$H,Table3!$A:$A,$B14)*$D14^4+SUMIFS(Table3!$I:$I,Table3!$A:$A,$B14)*$D14^3+SUMIFS(Table3!$J:$J,Table3!$A:$A,$B14)*$D14^2+SUMIFS(Table3!$K:$K,Table3!$A:$A,$B14)*$D14)+SUMIFS(Table3!$L:$L,Table3!$A:$A,$B14)*LOG10($D14)+SUMIFS(Table3!$N:$N,Table3!$A:$A,$B14)*LOG10(AW14)+LOG10(1/$AD14)-LOG10(20/BD14))/-SUMIFS(Table3!$M:$M,Table3!$A:$A,$B14))</f>
        <v>2450.6381968039254</v>
      </c>
      <c r="BO14" s="42">
        <f>10^((SUMIFS(Table4!$B:$B,Table4!$A:$A,$B14)+SUMIFS(Table4!$C:$C,Table4!$A:$A,$B14)*LOG10($E14)+(SUMIFS(Table4!$D:$D,Table4!$A:$A,$B14)*AX14)/(SUMIFS(Table4!$E:$E,Table4!$A:$A,$B14)*$D14^7+SUMIFS(Table4!$F:$F,Table4!$A:$A,$B14)*$D14^6+SUMIFS(Table4!$G:$G,Table4!$A:$A,$B14)*$D14^5+SUMIFS(Table4!$H:$H,Table4!$A:$A,$B14)*$D14^4+SUMIFS(Table4!$I:$I,Table4!$A:$A,$B14)*$D14^3+SUMIFS(Table4!$J:$J,Table4!$A:$A,$B14)*$D14^2+SUMIFS(Table4!$K:$K,Table4!$A:$A,$B14)*$D14)+SUMIFS(Table4!$L:$L,Table4!$A:$A,$B14)*LOG10($D14)+SUMIFS(Table4!$N:$N,Table4!$A:$A,$B14)*LOG10(AX14)+LOG10(1/$AD14)-LOG10(20/BD14))/-SUMIFS(Table4!$M:$M,Table4!$A:$A,$B14))</f>
        <v>3848.5454826800578</v>
      </c>
      <c r="BP14" s="42">
        <f>10^((SUMIFS(Table5!$B:$B,Table5!$A:$A,$B14)+SUMIFS(Table5!$C:$C,Table5!$A:$A,$B14)*LOG10($E14)+(SUMIFS(Table5!$D:$D,Table5!$A:$A,$B14)*AY14)/(SUMIFS(Table5!$E:$E,Table5!$A:$A,$B14)*$D14^7+SUMIFS(Table5!$F:$F,Table5!$A:$A,$B14)*$D14^6+SUMIFS(Table5!$G:$G,Table5!$A:$A,$B14)*$D14^5+SUMIFS(Table5!$H:$H,Table5!$A:$A,$B14)*$D14^4+SUMIFS(Table5!$I:$I,Table5!$A:$A,$B14)*$D14^3+SUMIFS(Table5!$J:$J,Table5!$A:$A,$B14)*$D14^2+SUMIFS(Table5!$K:$K,Table5!$A:$A,$B14)*$D14)+SUMIFS(Table5!$L:$L,Table5!$A:$A,$B14)*LOG10($D14)+SUMIFS(Table5!$N:$N,Table5!$A:$A,$B14)*LOG10(AY14)+LOG10(1/$AD14)-LOG10(20/BD14))/-SUMIFS(Table5!$M:$M,Table5!$A:$A,$B14))</f>
        <v>4610.7519916295296</v>
      </c>
      <c r="BQ14" s="42">
        <f t="shared" si="48"/>
        <v>2370.7577804681459</v>
      </c>
      <c r="BR14" s="42">
        <f t="shared" si="49"/>
        <v>3702.6749266569691</v>
      </c>
      <c r="BS14" s="42">
        <f t="shared" si="50"/>
        <v>2294.648229257356</v>
      </c>
      <c r="BT14" s="43">
        <f t="shared" si="51"/>
        <v>2307.2985123333019</v>
      </c>
    </row>
    <row r="15" spans="1:72" x14ac:dyDescent="0.2">
      <c r="A15" s="46" t="s">
        <v>182</v>
      </c>
      <c r="B15" s="76" t="s">
        <v>13</v>
      </c>
      <c r="C15" s="41">
        <v>0.48</v>
      </c>
      <c r="D15" s="41">
        <v>32.158000000000001</v>
      </c>
      <c r="E15" s="41">
        <v>32</v>
      </c>
      <c r="F15" s="41">
        <v>609.6</v>
      </c>
      <c r="G15" s="41">
        <v>800</v>
      </c>
      <c r="H15" s="41">
        <v>750</v>
      </c>
      <c r="I15" s="41">
        <v>500</v>
      </c>
      <c r="J15" s="39">
        <f>10^(SUMIFS(Table1!$C:$C,Table1!$B:$B,600,Table1!$A:$A,$B15)+SUMIFS(Table1!$D:$D,Table1!$B:$B,600,Table1!$A:$A,$B15)*LOG10($D15)+SUMIFS(Table1!$E:$E,Table1!$B:$B,600,Table1!$A:$A,$B15)*LOG10($E15))*(SUMIFS(Table1!$F:$F,Table1!$B:$B,600,Table1!$A:$A,$B15)*$D15^6+SUMIFS(Table1!$G:$G,Table1!$B:$B,600,Table1!$A:$A,$B15)*$D15^5+SUMIFS(Table1!$H:$H,Table1!$B:$B,600,Table1!$A:$A,$B15)*$D15^4+SUMIFS(Table1!$I:$I,Table1!$B:$B,600,Table1!$A:$A,$B15)*$D15^3+SUMIFS(Table1!$J:$J,Table1!$B:$B,600,Table1!$A:$A,$B15)*$D15^2+SUMIFS(Table1!$K:$K,Table1!$B:$B,600,Table1!$A:$A,$B15)*$D15+SUMIFS(Table1!$L:$L,Table1!$B:$B,600,Table1!$A:$A,$B15))</f>
        <v>27.165173934384562</v>
      </c>
      <c r="K15" s="39">
        <f>10^(SUMIFS(Table1!$C:$C,Table1!$B:$B,2700,Table1!$A:$A,$B15)+SUMIFS(Table1!$D:$D,Table1!$B:$B,2700,Table1!$A:$A,$B15)*LOG10($D15)+SUMIFS(Table1!$E:$E,Table1!$B:$B,2700,Table1!$A:$A,$B15)*LOG10($E15))*(SUMIFS(Table1!$F:$F,Table1!$B:$B,2700,Table1!$A:$A,$B15)*$D15^6+SUMIFS(Table1!$G:$G,Table1!$B:$B,2700,Table1!$A:$A,$B15)*$D15^5+SUMIFS(Table1!$H:$H,Table1!$B:$B,2700,Table1!$A:$A,$B15)*$D15^4+SUMIFS(Table1!$I:$I,Table1!$B:$B,2700,Table1!$A:$A,$B15)*$D15^3+SUMIFS(Table1!$J:$J,Table1!$B:$B,2700,Table1!$A:$A,$B15)*$D15^2+SUMIFS(Table1!$K:$K,Table1!$B:$B,2700,Table1!$A:$A,$B15)*$D15+SUMIFS(Table1!$L:$L,Table1!$B:$B,2700,Table1!$A:$A,$B15))</f>
        <v>28.494531927955716</v>
      </c>
      <c r="L15" s="39">
        <f>10^(SUMIFS(Table1!$C:$C,Table1!$B:$B,14300,Table1!$A:$A,$B15)+SUMIFS(Table1!$D:$D,Table1!$B:$B,14300,Table1!$A:$A,$B15)*LOG10($D15)+SUMIFS(Table1!$E:$E,Table1!$B:$B,14300,Table1!$A:$A,$B15)*LOG10($E15))*(SUMIFS(Table1!$F:$F,Table1!$B:$B,14300,Table1!$A:$A,$B15)*$D15^6+SUMIFS(Table1!$G:$G,Table1!$B:$B,14300,Table1!$A:$A,$B15)*$D15^5+SUMIFS(Table1!$H:$H,Table1!$B:$B,14300,Table1!$A:$A,$B15)*$D15^4+SUMIFS(Table1!$I:$I,Table1!$B:$B,14300,Table1!$A:$A,$B15)*$D15^3+SUMIFS(Table1!$J:$J,Table1!$B:$B,14300,Table1!$A:$A,$B15)*$D15^2+SUMIFS(Table1!$K:$K,Table1!$B:$B,14300,Table1!$A:$A,$B15)*$D15+SUMIFS(Table1!$L:$L,Table1!$B:$B,14300,Table1!$A:$A,$B15))</f>
        <v>31.127033833643445</v>
      </c>
      <c r="M15" s="39">
        <f t="shared" si="0"/>
        <v>27.089210620466211</v>
      </c>
      <c r="N15" s="39">
        <f t="shared" si="1"/>
        <v>27.990725528763754</v>
      </c>
      <c r="O15" s="39">
        <f t="shared" si="2"/>
        <v>27.037695482849209</v>
      </c>
      <c r="P15" s="40">
        <f t="shared" si="52"/>
        <v>25.210200987164171</v>
      </c>
      <c r="Q15" s="41">
        <v>350</v>
      </c>
      <c r="R15" s="45" t="str">
        <f t="shared" si="3"/>
        <v>Typical</v>
      </c>
      <c r="S15" s="36">
        <f t="shared" si="4"/>
        <v>10</v>
      </c>
      <c r="T15" s="36">
        <f t="shared" si="5"/>
        <v>24</v>
      </c>
      <c r="U15" s="36">
        <f t="shared" si="6"/>
        <v>800</v>
      </c>
      <c r="V15" s="36">
        <f>(660.4+($U15-660.4)*($C15+$S15)/$T15)*(1/25.4)</f>
        <v>28.399947506561677</v>
      </c>
      <c r="W15" s="36">
        <f t="shared" si="7"/>
        <v>750</v>
      </c>
      <c r="X15" s="36">
        <f>(660.4+($W15-660.4)*($C15+$S15)/$T15)*(1/25.4)</f>
        <v>27.540367454068239</v>
      </c>
      <c r="Y15" s="37">
        <f>IF($G15&lt;508,IF($R15="Typical",20,0.03937*$G15),IF($G15&lt;=660.4,0.03937*$G15,IF($G15&lt;=1244.6,$V15,$V15)))</f>
        <v>28.399947506561677</v>
      </c>
      <c r="Z15" s="37">
        <f>IF($H15&lt;508,IF($R15="Typical",20,0.03937*$H15),IF($H15&lt;=660.4,0.03937*$H15,IF($H15&lt;=1244.6,IF($B15="VCB",0.03937*$H15,$X15),IF($B15="VCB",49,$X15))))</f>
        <v>27.540367454068239</v>
      </c>
      <c r="AA15" s="39">
        <f>(Z15+Y15)/2</f>
        <v>27.97015748031496</v>
      </c>
      <c r="AB15" s="38">
        <f>SUMIFS(Table7!C:C,Table7!A:A,"Typical",Table7!B:B,$B15)*$AA15^2+SUMIFS(Table7!D:D,Table7!A:A,"Typical",Table7!B:B,$B15)*$AA15+SUMIFS(Table7!E:E,Table7!A:A,"Typical",Table7!B:B,$B15)</f>
        <v>1.1412237178307296</v>
      </c>
      <c r="AC15" s="38">
        <f>1/(SUMIFS(Table7!C:C,Table7!A:A,"Shallow",Table7!B:B,$B15)*$AA15^2+SUMIFS(Table7!D:D,Table7!A:A,"Shallow",Table7!B:B,$B15)*$AA15+SUMIFS(Table7!E:E,Table7!A:A,"Shallow",Table7!B:B,$B15))</f>
        <v>1.1254608998609272</v>
      </c>
      <c r="AD15" s="39">
        <f>IF(R15="Typical",AB15,AC15)</f>
        <v>1.1412237178307296</v>
      </c>
      <c r="AE15" s="39">
        <f>(12.552/50)*Q15*10^(SUMIFS(Table3!$B:$B,Table3!$A:$A,$B15)+SUMIFS(Table3!$C:$C,Table3!$A:$A,$B15)*LOG10($E15)+SUMIFS(Table3!$D:$D,Table3!$A:$A,$B15)*$J15/(SUMIFS(Table3!$E:$E,Table3!$A:$A,$B15)*$D15^7+SUMIFS(Table3!$F:$F,Table3!$A:$A,$B15)*$D15^6+SUMIFS(Table3!$G:$G,Table3!$A:$A,$B15)*$D15^5+SUMIFS(Table3!$H:$H,Table3!$A:$A,$B15)*$D15^4+SUMIFS(Table3!$I:$I,Table3!$A:$A,$B15)*$D15^3+SUMIFS(Table3!$J:$J,Table3!$A:$A,$B15)*$D15^2+SUMIFS(Table3!$K:$K,Table3!$A:$A,$B15)*$D15)+SUMIFS(Table3!$L:$L,Table3!$A:$A,$B15)*LOG10($D15)+SUMIFS(Table3!$M:$M,Table3!$A:$A,$B15)*LOG10($F15)+SUMIFS(Table3!$N:$N,Table3!$A:$A,$B15)*LOG10(P15)+LOG10(1/$AD15))</f>
        <v>64.802657902000547</v>
      </c>
      <c r="AF15" s="39">
        <f>(12.552/50)*Q15*10^(SUMIFS(Table3!$B:$B,Table3!$A:$A,$B15)+SUMIFS(Table3!$C:$C,Table3!$A:$A,$B15)*LOG10($E15)+SUMIFS(Table3!$D:$D,Table3!$A:$A,$B15)*J15/(SUMIFS(Table3!$E:$E,Table3!$A:$A,$B15)*$D15^7+SUMIFS(Table3!$F:$F,Table3!$A:$A,$B15)*$D15^6+SUMIFS(Table3!$G:$G,Table3!$A:$A,$B15)*$D15^5+SUMIFS(Table3!$H:$H,Table3!$A:$A,$B15)*$D15^4+SUMIFS(Table3!$I:$I,Table3!$A:$A,$B15)*$D15^3+SUMIFS(Table3!$J:$J,Table3!$A:$A,$B15)*$D15^2+SUMIFS(Table3!$K:$K,Table3!$A:$A,$B15)*$D15)+SUMIFS(Table3!$L:$L,Table3!$A:$A,$B15)*LOG10($D15)+SUMIFS(Table3!$M:$M,Table3!$A:$A,$B15)*LOG10($F15)+SUMIFS(Table3!$N:$N,Table3!$A:$A,$B15)*LOG10(J15)+LOG10(1/$AD15))</f>
        <v>70.825863088231017</v>
      </c>
      <c r="AG15" s="39">
        <f>(12.552/50)*Q15*10^(SUMIFS(Table4!$B:$B,Table4!$A:$A,$B15)+SUMIFS(Table4!$C:$C,Table4!$A:$A,$B15)*LOG10($E15)+SUMIFS(Table4!$D:$D,Table4!$A:$A,$B15)*K15/(SUMIFS(Table4!$E:$E,Table4!$A:$A,$B15)*$D15^7+SUMIFS(Table4!$F:$F,Table4!$A:$A,$B15)*$D15^6+SUMIFS(Table4!$G:$G,Table4!$A:$A,$B15)*$D15^5+SUMIFS(Table4!$H:$H,Table4!$A:$A,$B15)*$D15^4+SUMIFS(Table4!$I:$I,Table4!$A:$A,$B15)*$D15^3+SUMIFS(Table4!$J:$J,Table4!$A:$A,$B15)*$D15^2+SUMIFS(Table4!$K:$K,Table4!$A:$A,$B15)*$D15)+SUMIFS(Table4!$L:$L,Table4!$A:$A,$B15)*LOG10($D15)+SUMIFS(Table4!$M:$M,Table4!$A:$A,$B15)*LOG10($F15)+SUMIFS(Table4!$N:$N,Table4!$A:$A,$B15)*LOG10(K15)+LOG10(1/$AD15))</f>
        <v>117.99215094284096</v>
      </c>
      <c r="AH15" s="39">
        <f>(12.552/50)*Q15*10^(SUMIFS(Table5!$B:$B,Table5!$A:$A,$B15)+SUMIFS(Table5!$C:$C,Table5!$A:$A,$B15)*LOG10($E15)+SUMIFS(Table5!$D:$D,Table5!$A:$A,$B15)*L15/(SUMIFS(Table5!$E:$E,Table5!$A:$A,$B15)*$D15^7+SUMIFS(Table5!$F:$F,Table5!$A:$A,$B15)*$D15^6+SUMIFS(Table5!$G:$G,Table5!$A:$A,$B15)*$D15^5+SUMIFS(Table5!$H:$H,Table5!$A:$A,$B15)*$D15^4+SUMIFS(Table5!$I:$I,Table5!$A:$A,$B15)*$D15^3+SUMIFS(Table5!$J:$J,Table5!$A:$A,$B15)*$D15^2+SUMIFS(Table5!$K:$K,Table5!$A:$A,$B15)*$D15)+SUMIFS(Table5!$L:$L,Table5!$A:$A,$B15)*LOG10($D15)+SUMIFS(Table5!$M:$M,Table5!$A:$A,$B15)*LOG10($F15)+SUMIFS(Table5!$N:$N,Table5!$A:$A,$B15)*LOG10(L15)+LOG10(1/$AD15))</f>
        <v>144.76883196676636</v>
      </c>
      <c r="AI15" s="39">
        <f t="shared" si="28"/>
        <v>68.130646639396161</v>
      </c>
      <c r="AJ15" s="39">
        <f t="shared" si="29"/>
        <v>112.86764819515869</v>
      </c>
      <c r="AK15" s="39">
        <f t="shared" si="30"/>
        <v>65.574246550495459</v>
      </c>
      <c r="AL15" s="40">
        <f t="shared" si="31"/>
        <v>64.802657902000547</v>
      </c>
      <c r="AM15" s="42">
        <f>10^((SUMIFS(Table3!$B:$B,Table3!$A:$A,$B15)+SUMIFS(Table3!$C:$C,Table3!$A:$A,$B15)*LOG10($E15)+(SUMIFS(Table3!$D:$D,Table3!$A:$A,$B15)*$J15)/(SUMIFS(Table3!$E:$E,Table3!$A:$A,$B15)*$D15^7+SUMIFS(Table3!$F:$F,Table3!$A:$A,$B15)*$D15^6+SUMIFS(Table3!$G:$G,Table3!$A:$A,$B15)*$D15^5+SUMIFS(Table3!$H:$H,Table3!$A:$A,$B15)*$D15^4+SUMIFS(Table3!$I:$I,Table3!$A:$A,$B15)*$D15^3+SUMIFS(Table3!$J:$J,Table3!$A:$A,$B15)*$D15^2+SUMIFS(Table3!$K:$K,Table3!$A:$A,$B15)*$D15)+SUMIFS(Table3!$L:$L,Table3!$A:$A,$B15)*LOG10($D15)+SUMIFS(Table3!$N:$N,Table3!$A:$A,$B15)*LOG10(P15)+LOG10(1/$AD15)-LOG10(20/Q15))/-SUMIFS(Table3!$M:$M,Table3!$A:$A,$B15))</f>
        <v>2506.6682710246373</v>
      </c>
      <c r="AN15" s="42">
        <f>10^((SUMIFS(Table3!$B:$B,Table3!$A:$A,$B15)+SUMIFS(Table3!$C:$C,Table3!$A:$A,$B15)*LOG10($E15)+(SUMIFS(Table3!$D:$D,Table3!$A:$A,$B15)*J15)/(SUMIFS(Table3!$E:$E,Table3!$A:$A,$B15)*$D15^7+SUMIFS(Table3!$F:$F,Table3!$A:$A,$B15)*$D15^6+SUMIFS(Table3!$G:$G,Table3!$A:$A,$B15)*$D15^5+SUMIFS(Table3!$H:$H,Table3!$A:$A,$B15)*$D15^4+SUMIFS(Table3!$I:$I,Table3!$A:$A,$B15)*$D15^3+SUMIFS(Table3!$J:$J,Table3!$A:$A,$B15)*$D15^2+SUMIFS(Table3!$K:$K,Table3!$A:$A,$B15)*$D15)+SUMIFS(Table3!$L:$L,Table3!$A:$A,$B15)*LOG10($D15)+SUMIFS(Table3!$N:$N,Table3!$A:$A,$B15)*LOG10(J15)+LOG10(1/$AD15)-LOG10(20/Q15))/-SUMIFS(Table3!$M:$M,Table3!$A:$A,$B15))</f>
        <v>2632.8983842810821</v>
      </c>
      <c r="AO15" s="42">
        <f>10^((SUMIFS(Table4!$B:$B,Table4!$A:$A,$B15)+SUMIFS(Table4!$C:$C,Table4!$A:$A,$B15)*LOG10($E15)+(SUMIFS(Table4!$D:$D,Table4!$A:$A,$B15)*K15)/(SUMIFS(Table4!$E:$E,Table4!$A:$A,$B15)*$D15^7+SUMIFS(Table4!$F:$F,Table4!$A:$A,$B15)*$D15^6+SUMIFS(Table4!$G:$G,Table4!$A:$A,$B15)*$D15^5+SUMIFS(Table4!$H:$H,Table4!$A:$A,$B15)*$D15^4+SUMIFS(Table4!$I:$I,Table4!$A:$A,$B15)*$D15^3+SUMIFS(Table4!$J:$J,Table4!$A:$A,$B15)*$D15^2+SUMIFS(Table4!$K:$K,Table4!$A:$A,$B15)*$D15)+SUMIFS(Table4!$L:$L,Table4!$A:$A,$B15)*LOG10($D15)+SUMIFS(Table4!$N:$N,Table4!$A:$A,$B15)*LOG10(K15)+LOG10(1/$AD15)-LOG10(20/Q15))/-SUMIFS(Table4!$M:$M,Table4!$A:$A,$B15))</f>
        <v>3733.5107114979673</v>
      </c>
      <c r="AP15" s="42">
        <f>10^((SUMIFS(Table5!$B:$B,Table5!$A:$A,$B15)+SUMIFS(Table5!$C:$C,Table5!$A:$A,$B15)*LOG10($E15)+(SUMIFS(Table5!$D:$D,Table5!$A:$A,$B15)*L15)/(SUMIFS(Table5!$E:$E,Table5!$A:$A,$B15)*$D15^7+SUMIFS(Table5!$F:$F,Table5!$A:$A,$B15)*$D15^6+SUMIFS(Table5!$G:$G,Table5!$A:$A,$B15)*$D15^5+SUMIFS(Table5!$H:$H,Table5!$A:$A,$B15)*$D15^4+SUMIFS(Table5!$I:$I,Table5!$A:$A,$B15)*$D15^3+SUMIFS(Table5!$J:$J,Table5!$A:$A,$B15)*$D15^2+SUMIFS(Table5!$K:$K,Table5!$A:$A,$B15)*$D15)+SUMIFS(Table5!$L:$L,Table5!$A:$A,$B15)*LOG10($D15)+SUMIFS(Table5!$N:$N,Table5!$A:$A,$B15)*LOG10(L15)+LOG10(1/$AD15)-LOG10(20/Q15))/-SUMIFS(Table5!$M:$M,Table5!$A:$A,$B15))</f>
        <v>4524.6904729922053</v>
      </c>
      <c r="AQ15" s="42">
        <f t="shared" si="32"/>
        <v>2570.00625129726</v>
      </c>
      <c r="AR15" s="42">
        <f t="shared" si="33"/>
        <v>3582.095274384415</v>
      </c>
      <c r="AS15" s="42">
        <f t="shared" si="34"/>
        <v>2512.172592835137</v>
      </c>
      <c r="AT15" s="43">
        <f t="shared" si="35"/>
        <v>2506.6682710246373</v>
      </c>
      <c r="AU15" s="39">
        <f>SUMIFS(Table2!$B:$B,Table2!$A:$A,$B15)*$C15^6+SUMIFS(Table2!$C:$C,Table2!$A:$A,$B15)*$C15^5+SUMIFS(Table2!$D:$D,Table2!$A:$A,$B15)*$C15^4+SUMIFS(Table2!$E:$E,Table2!$A:$A,$B15)*$C15^3+SUMIFS(Table2!$F:$F,Table2!$A:$A,$B15)*$C15^2+SUMIFS(Table2!$G:$G,Table2!$A:$A,$B15)*$C15+SUMIFS(Table2!$H:$H,Table2!$A:$A,$B15)</f>
        <v>0.23674766277705805</v>
      </c>
      <c r="AV15" s="39">
        <f t="shared" si="36"/>
        <v>0.88162616861147103</v>
      </c>
      <c r="AW15" s="39">
        <f t="shared" si="37"/>
        <v>23.949528215435663</v>
      </c>
      <c r="AX15" s="39">
        <f t="shared" si="38"/>
        <v>25.121525010020832</v>
      </c>
      <c r="AY15" s="39">
        <f t="shared" si="39"/>
        <v>27.4424075789947</v>
      </c>
      <c r="AZ15" s="39">
        <f t="shared" si="40"/>
        <v>23.882556970030794</v>
      </c>
      <c r="BA15" s="39">
        <f t="shared" si="41"/>
        <v>24.677356104579282</v>
      </c>
      <c r="BB15" s="39">
        <f t="shared" si="42"/>
        <v>23.837139876628026</v>
      </c>
      <c r="BC15" s="40">
        <f t="shared" si="43"/>
        <v>22.225972906238674</v>
      </c>
      <c r="BD15" s="41">
        <v>350</v>
      </c>
      <c r="BE15" s="39">
        <f>(12.552/50)*BD15*10^(SUMIFS(Table3!$B:$B,Table3!$A:$A,$B15)+SUMIFS(Table3!$C:$C,Table3!$A:$A,$B15)*LOG10($E15)+SUMIFS(Table3!$D:$D,Table3!$A:$A,$B15)*$J15/(SUMIFS(Table3!$E:$E,Table3!$A:$A,$B15)*$D15^7+SUMIFS(Table3!$F:$F,Table3!$A:$A,$B15)*$D15^6+SUMIFS(Table3!$G:$G,Table3!$A:$A,$B15)*$D15^5+SUMIFS(Table3!$H:$H,Table3!$A:$A,$B15)*$D15^4+SUMIFS(Table3!$I:$I,Table3!$A:$A,$B15)*$D15^3+SUMIFS(Table3!$J:$J,Table3!$A:$A,$B15)*$D15^2+SUMIFS(Table3!$K:$K,Table3!$A:$A,$B15)*$D15)+SUMIFS(Table3!$L:$L,Table3!$A:$A,$B15)*LOG10($D15)+SUMIFS(Table3!$M:$M,Table3!$A:$A,$B15)*LOG10($F15)+SUMIFS(Table3!$N:$N,Table3!$A:$A,$B15)*LOG10(BC15)+LOG10(1/$AD15))</f>
        <v>55.780363652285423</v>
      </c>
      <c r="BF15" s="39">
        <f>(12.552/50)*BD15*10^(SUMIFS(Table3!$B:$B,Table3!$A:$A,$B15)+SUMIFS(Table3!$C:$C,Table3!$A:$A,$B15)*LOG10($E15)+SUMIFS(Table3!$D:$D,Table3!$A:$A,$B15)*AW15/(SUMIFS(Table3!$E:$E,Table3!$A:$A,$B15)*$D15^7+SUMIFS(Table3!$F:$F,Table3!$A:$A,$B15)*$D15^6+SUMIFS(Table3!$G:$G,Table3!$A:$A,$B15)*$D15^5+SUMIFS(Table3!$H:$H,Table3!$A:$A,$B15)*$D15^4+SUMIFS(Table3!$I:$I,Table3!$A:$A,$B15)*$D15^3+SUMIFS(Table3!$J:$J,Table3!$A:$A,$B15)*$D15^2+SUMIFS(Table3!$K:$K,Table3!$A:$A,$B15)*$D15)+SUMIFS(Table3!$L:$L,Table3!$A:$A,$B15)*LOG10($D15)+SUMIFS(Table3!$M:$M,Table3!$A:$A,$B15)*LOG10($F15)+SUMIFS(Table3!$N:$N,Table3!$A:$A,$B15)*LOG10(AW15)+LOG10(1/$AD15))</f>
        <v>62.206055298080223</v>
      </c>
      <c r="BG15" s="39">
        <f>(12.552/50)*BD15*10^(SUMIFS(Table4!$B:$B,Table4!$A:$A,$B15)+SUMIFS(Table4!$C:$C,Table4!$A:$A,$B15)*LOG10($E15)+SUMIFS(Table4!$D:$D,Table4!$A:$A,$B15)*AX15/(SUMIFS(Table4!$E:$E,Table4!$A:$A,$B15)*$D15^7+SUMIFS(Table4!$F:$F,Table4!$A:$A,$B15)*$D15^6+SUMIFS(Table4!$G:$G,Table4!$A:$A,$B15)*$D15^5+SUMIFS(Table4!$H:$H,Table4!$A:$A,$B15)*$D15^4+SUMIFS(Table4!$I:$I,Table4!$A:$A,$B15)*$D15^3+SUMIFS(Table4!$J:$J,Table4!$A:$A,$B15)*$D15^2+SUMIFS(Table4!$K:$K,Table4!$A:$A,$B15)*$D15)+SUMIFS(Table4!$L:$L,Table4!$A:$A,$B15)*LOG10($D15)+SUMIFS(Table4!$M:$M,Table4!$A:$A,$B15)*LOG10($F15)+SUMIFS(Table4!$N:$N,Table4!$A:$A,$B15)*LOG10(AX15)+LOG10(1/$AD15))</f>
        <v>124.39740550924661</v>
      </c>
      <c r="BH15" s="39">
        <f>(12.552/50)*BD15*10^(SUMIFS(Table5!$B:$B,Table5!$A:$A,$B15)+SUMIFS(Table5!$C:$C,Table5!$A:$A,$B15)*LOG10($E15)+SUMIFS(Table5!$D:$D,Table5!$A:$A,$B15)*AY15/(SUMIFS(Table5!$E:$E,Table5!$A:$A,$B15)*$D15^7+SUMIFS(Table5!$F:$F,Table5!$A:$A,$B15)*$D15^6+SUMIFS(Table5!$G:$G,Table5!$A:$A,$B15)*$D15^5+SUMIFS(Table5!$H:$H,Table5!$A:$A,$B15)*$D15^4+SUMIFS(Table5!$I:$I,Table5!$A:$A,$B15)*$D15^3+SUMIFS(Table5!$J:$J,Table5!$A:$A,$B15)*$D15^2+SUMIFS(Table5!$K:$K,Table5!$A:$A,$B15)*$D15)+SUMIFS(Table5!$L:$L,Table5!$A:$A,$B15)*LOG10($D15)+SUMIFS(Table5!$M:$M,Table5!$A:$A,$B15)*LOG10($F15)+SUMIFS(Table5!$N:$N,Table5!$A:$A,$B15)*LOG10(AY15)+LOG10(1/$AD15))</f>
        <v>149.41622939356111</v>
      </c>
      <c r="BI15" s="39">
        <f t="shared" si="44"/>
        <v>58.652263857442136</v>
      </c>
      <c r="BJ15" s="39">
        <f t="shared" si="45"/>
        <v>119.6093202486278</v>
      </c>
      <c r="BK15" s="39">
        <f t="shared" si="46"/>
        <v>55.169003492231532</v>
      </c>
      <c r="BL15" s="40">
        <f t="shared" si="47"/>
        <v>55.780363652285423</v>
      </c>
      <c r="BM15" s="42">
        <f>10^((SUMIFS(Table3!$B:$B,Table3!$A:$A,$B15)+SUMIFS(Table3!$C:$C,Table3!$A:$A,$B15)*LOG10($E15)+(SUMIFS(Table3!$D:$D,Table3!$A:$A,$B15)*$J15)/(SUMIFS(Table3!$E:$E,Table3!$A:$A,$B15)*$D15^7+SUMIFS(Table3!$F:$F,Table3!$A:$A,$B15)*$D15^6+SUMIFS(Table3!$G:$G,Table3!$A:$A,$B15)*$D15^5+SUMIFS(Table3!$H:$H,Table3!$A:$A,$B15)*$D15^4+SUMIFS(Table3!$I:$I,Table3!$A:$A,$B15)*$D15^3+SUMIFS(Table3!$J:$J,Table3!$A:$A,$B15)*$D15^2+SUMIFS(Table3!$K:$K,Table3!$A:$A,$B15)*$D15)+SUMIFS(Table3!$L:$L,Table3!$A:$A,$B15)*LOG10($D15)+SUMIFS(Table3!$N:$N,Table3!$A:$A,$B15)*LOG10(BC15)+LOG10(1/$AD15)-LOG10(20/BD15))/-SUMIFS(Table3!$M:$M,Table3!$A:$A,$B15))</f>
        <v>2307.2985123333019</v>
      </c>
      <c r="BN15" s="42">
        <f>10^((SUMIFS(Table3!$B:$B,Table3!$A:$A,$B15)+SUMIFS(Table3!$C:$C,Table3!$A:$A,$B15)*LOG10($E15)+(SUMIFS(Table3!$D:$D,Table3!$A:$A,$B15)*AW15)/(SUMIFS(Table3!$E:$E,Table3!$A:$A,$B15)*$D15^7+SUMIFS(Table3!$F:$F,Table3!$A:$A,$B15)*$D15^6+SUMIFS(Table3!$G:$G,Table3!$A:$A,$B15)*$D15^5+SUMIFS(Table3!$H:$H,Table3!$A:$A,$B15)*$D15^4+SUMIFS(Table3!$I:$I,Table3!$A:$A,$B15)*$D15^3+SUMIFS(Table3!$J:$J,Table3!$A:$A,$B15)*$D15^2+SUMIFS(Table3!$K:$K,Table3!$A:$A,$B15)*$D15)+SUMIFS(Table3!$L:$L,Table3!$A:$A,$B15)*LOG10($D15)+SUMIFS(Table3!$N:$N,Table3!$A:$A,$B15)*LOG10(AW15)+LOG10(1/$AD15)-LOG10(20/BD15))/-SUMIFS(Table3!$M:$M,Table3!$A:$A,$B15))</f>
        <v>2450.6381968039254</v>
      </c>
      <c r="BO15" s="42">
        <f>10^((SUMIFS(Table4!$B:$B,Table4!$A:$A,$B15)+SUMIFS(Table4!$C:$C,Table4!$A:$A,$B15)*LOG10($E15)+(SUMIFS(Table4!$D:$D,Table4!$A:$A,$B15)*AX15)/(SUMIFS(Table4!$E:$E,Table4!$A:$A,$B15)*$D15^7+SUMIFS(Table4!$F:$F,Table4!$A:$A,$B15)*$D15^6+SUMIFS(Table4!$G:$G,Table4!$A:$A,$B15)*$D15^5+SUMIFS(Table4!$H:$H,Table4!$A:$A,$B15)*$D15^4+SUMIFS(Table4!$I:$I,Table4!$A:$A,$B15)*$D15^3+SUMIFS(Table4!$J:$J,Table4!$A:$A,$B15)*$D15^2+SUMIFS(Table4!$K:$K,Table4!$A:$A,$B15)*$D15)+SUMIFS(Table4!$L:$L,Table4!$A:$A,$B15)*LOG10($D15)+SUMIFS(Table4!$N:$N,Table4!$A:$A,$B15)*LOG10(AX15)+LOG10(1/$AD15)-LOG10(20/BD15))/-SUMIFS(Table4!$M:$M,Table4!$A:$A,$B15))</f>
        <v>3848.5454826800578</v>
      </c>
      <c r="BP15" s="42">
        <f>10^((SUMIFS(Table5!$B:$B,Table5!$A:$A,$B15)+SUMIFS(Table5!$C:$C,Table5!$A:$A,$B15)*LOG10($E15)+(SUMIFS(Table5!$D:$D,Table5!$A:$A,$B15)*AY15)/(SUMIFS(Table5!$E:$E,Table5!$A:$A,$B15)*$D15^7+SUMIFS(Table5!$F:$F,Table5!$A:$A,$B15)*$D15^6+SUMIFS(Table5!$G:$G,Table5!$A:$A,$B15)*$D15^5+SUMIFS(Table5!$H:$H,Table5!$A:$A,$B15)*$D15^4+SUMIFS(Table5!$I:$I,Table5!$A:$A,$B15)*$D15^3+SUMIFS(Table5!$J:$J,Table5!$A:$A,$B15)*$D15^2+SUMIFS(Table5!$K:$K,Table5!$A:$A,$B15)*$D15)+SUMIFS(Table5!$L:$L,Table5!$A:$A,$B15)*LOG10($D15)+SUMIFS(Table5!$N:$N,Table5!$A:$A,$B15)*LOG10(AY15)+LOG10(1/$AD15)-LOG10(20/BD15))/-SUMIFS(Table5!$M:$M,Table5!$A:$A,$B15))</f>
        <v>4610.7519916295296</v>
      </c>
      <c r="BQ15" s="42">
        <f t="shared" si="48"/>
        <v>2370.7577804681459</v>
      </c>
      <c r="BR15" s="42">
        <f t="shared" si="49"/>
        <v>3702.6749266569691</v>
      </c>
      <c r="BS15" s="42">
        <f t="shared" si="50"/>
        <v>2294.648229257356</v>
      </c>
      <c r="BT15" s="43">
        <f t="shared" si="51"/>
        <v>2307.2985123333019</v>
      </c>
    </row>
    <row r="16" spans="1:72" x14ac:dyDescent="0.2">
      <c r="A16" s="46" t="s">
        <v>183</v>
      </c>
      <c r="B16" s="76" t="s">
        <v>13</v>
      </c>
      <c r="C16" s="41">
        <v>0.48</v>
      </c>
      <c r="D16" s="41">
        <v>30.253</v>
      </c>
      <c r="E16" s="41">
        <v>25</v>
      </c>
      <c r="F16" s="41">
        <v>457.2</v>
      </c>
      <c r="G16" s="41">
        <v>437</v>
      </c>
      <c r="H16" s="41">
        <v>215</v>
      </c>
      <c r="I16" s="41">
        <v>460</v>
      </c>
      <c r="J16" s="39">
        <f>10^(SUMIFS(Table1!$C:$C,Table1!$B:$B,600,Table1!$A:$A,$B16)+SUMIFS(Table1!$D:$D,Table1!$B:$B,600,Table1!$A:$A,$B16)*LOG10($D16)+SUMIFS(Table1!$E:$E,Table1!$B:$B,600,Table1!$A:$A,$B16)*LOG10($E16))*(SUMIFS(Table1!$F:$F,Table1!$B:$B,600,Table1!$A:$A,$B16)*$D16^6+SUMIFS(Table1!$G:$G,Table1!$B:$B,600,Table1!$A:$A,$B16)*$D16^5+SUMIFS(Table1!$H:$H,Table1!$B:$B,600,Table1!$A:$A,$B16)*$D16^4+SUMIFS(Table1!$I:$I,Table1!$B:$B,600,Table1!$A:$A,$B16)*$D16^3+SUMIFS(Table1!$J:$J,Table1!$B:$B,600,Table1!$A:$A,$B16)*$D16^2+SUMIFS(Table1!$K:$K,Table1!$B:$B,600,Table1!$A:$A,$B16)*$D16+SUMIFS(Table1!$L:$L,Table1!$B:$B,600,Table1!$A:$A,$B16))</f>
        <v>26.022751802313461</v>
      </c>
      <c r="K16" s="39">
        <f>10^(SUMIFS(Table1!$C:$C,Table1!$B:$B,2700,Table1!$A:$A,$B16)+SUMIFS(Table1!$D:$D,Table1!$B:$B,2700,Table1!$A:$A,$B16)*LOG10($D16)+SUMIFS(Table1!$E:$E,Table1!$B:$B,2700,Table1!$A:$A,$B16)*LOG10($E16))*(SUMIFS(Table1!$F:$F,Table1!$B:$B,2700,Table1!$A:$A,$B16)*$D16^6+SUMIFS(Table1!$G:$G,Table1!$B:$B,2700,Table1!$A:$A,$B16)*$D16^5+SUMIFS(Table1!$H:$H,Table1!$B:$B,2700,Table1!$A:$A,$B16)*$D16^4+SUMIFS(Table1!$I:$I,Table1!$B:$B,2700,Table1!$A:$A,$B16)*$D16^3+SUMIFS(Table1!$J:$J,Table1!$B:$B,2700,Table1!$A:$A,$B16)*$D16^2+SUMIFS(Table1!$K:$K,Table1!$B:$B,2700,Table1!$A:$A,$B16)*$D16+SUMIFS(Table1!$L:$L,Table1!$B:$B,2700,Table1!$A:$A,$B16))</f>
        <v>26.933262655525827</v>
      </c>
      <c r="L16" s="39">
        <f>10^(SUMIFS(Table1!$C:$C,Table1!$B:$B,14300,Table1!$A:$A,$B16)+SUMIFS(Table1!$D:$D,Table1!$B:$B,14300,Table1!$A:$A,$B16)*LOG10($D16)+SUMIFS(Table1!$E:$E,Table1!$B:$B,14300,Table1!$A:$A,$B16)*LOG10($E16))*(SUMIFS(Table1!$F:$F,Table1!$B:$B,14300,Table1!$A:$A,$B16)*$D16^6+SUMIFS(Table1!$G:$G,Table1!$B:$B,14300,Table1!$A:$A,$B16)*$D16^5+SUMIFS(Table1!$H:$H,Table1!$B:$B,14300,Table1!$A:$A,$B16)*$D16^4+SUMIFS(Table1!$I:$I,Table1!$B:$B,14300,Table1!$A:$A,$B16)*$D16^3+SUMIFS(Table1!$J:$J,Table1!$B:$B,14300,Table1!$A:$A,$B16)*$D16^2+SUMIFS(Table1!$K:$K,Table1!$B:$B,14300,Table1!$A:$A,$B16)*$D16+SUMIFS(Table1!$L:$L,Table1!$B:$B,14300,Table1!$A:$A,$B16))</f>
        <v>29.376452087092339</v>
      </c>
      <c r="M16" s="39">
        <f t="shared" si="0"/>
        <v>25.970722610701326</v>
      </c>
      <c r="N16" s="39">
        <f t="shared" si="1"/>
        <v>26.465686747070855</v>
      </c>
      <c r="O16" s="39">
        <f t="shared" si="2"/>
        <v>25.942438945765929</v>
      </c>
      <c r="P16" s="40">
        <f t="shared" si="52"/>
        <v>24.305371142348552</v>
      </c>
      <c r="Q16" s="41">
        <v>125</v>
      </c>
      <c r="R16" s="45" t="str">
        <f t="shared" si="3"/>
        <v>Typical</v>
      </c>
      <c r="S16" s="36">
        <f t="shared" si="4"/>
        <v>10</v>
      </c>
      <c r="T16" s="36">
        <f t="shared" si="5"/>
        <v>24</v>
      </c>
      <c r="U16" s="36">
        <f t="shared" si="6"/>
        <v>437</v>
      </c>
      <c r="V16" s="36">
        <f>(660.4+($U16-660.4)*($C16+$S16)/$T16)*(1/25.4)</f>
        <v>22.159396325459316</v>
      </c>
      <c r="W16" s="36">
        <f t="shared" si="7"/>
        <v>215</v>
      </c>
      <c r="X16" s="36">
        <f>(660.4+($W16-660.4)*($C16+$S16)/$T16)*(1/25.4)</f>
        <v>18.342860892388448</v>
      </c>
      <c r="Y16" s="37">
        <f>IF($G16&lt;508,IF($R16="Typical",20,0.03937*$G16),IF($G16&lt;=660.4,0.03937*$G16,IF($G16&lt;=1244.6,$V16,$V16)))</f>
        <v>20</v>
      </c>
      <c r="Z16" s="37">
        <f>IF($H16&lt;508,IF($R16="Typical",20,0.03937*$H16),IF($H16&lt;=660.4,0.03937*$H16,IF($H16&lt;=1244.6,IF($B16="VCB",0.03937*$H16,$X16),IF($B16="VCB",49,$X16))))</f>
        <v>20</v>
      </c>
      <c r="AA16" s="39">
        <f>(Z16+Y16)/2</f>
        <v>20</v>
      </c>
      <c r="AB16" s="38">
        <f>SUMIFS(Table7!C:C,Table7!A:A,"Typical",Table7!B:B,$B16)*$AA16^2+SUMIFS(Table7!D:D,Table7!A:A,"Typical",Table7!B:B,$B16)*$AA16+SUMIFS(Table7!E:E,Table7!A:A,"Typical",Table7!B:B,$B16)</f>
        <v>0.99995999999999996</v>
      </c>
      <c r="AC16" s="38">
        <f>1/(SUMIFS(Table7!C:C,Table7!A:A,"Shallow",Table7!B:B,$B16)*$AA16^2+SUMIFS(Table7!D:D,Table7!A:A,"Shallow",Table7!B:B,$B16)*$AA16+SUMIFS(Table7!E:E,Table7!A:A,"Shallow",Table7!B:B,$B16))</f>
        <v>1.0010010010010011</v>
      </c>
      <c r="AD16" s="39">
        <f>IF(R16="Typical",AB16,AC16)</f>
        <v>0.99995999999999996</v>
      </c>
      <c r="AE16" s="39">
        <f>(12.552/50)*Q16*10^(SUMIFS(Table3!$B:$B,Table3!$A:$A,$B16)+SUMIFS(Table3!$C:$C,Table3!$A:$A,$B16)*LOG10($E16)+SUMIFS(Table3!$D:$D,Table3!$A:$A,$B16)*$J16/(SUMIFS(Table3!$E:$E,Table3!$A:$A,$B16)*$D16^7+SUMIFS(Table3!$F:$F,Table3!$A:$A,$B16)*$D16^6+SUMIFS(Table3!$G:$G,Table3!$A:$A,$B16)*$D16^5+SUMIFS(Table3!$H:$H,Table3!$A:$A,$B16)*$D16^4+SUMIFS(Table3!$I:$I,Table3!$A:$A,$B16)*$D16^3+SUMIFS(Table3!$J:$J,Table3!$A:$A,$B16)*$D16^2+SUMIFS(Table3!$K:$K,Table3!$A:$A,$B16)*$D16)+SUMIFS(Table3!$L:$L,Table3!$A:$A,$B16)*LOG10($D16)+SUMIFS(Table3!$M:$M,Table3!$A:$A,$B16)*LOG10($F16)+SUMIFS(Table3!$N:$N,Table3!$A:$A,$B16)*LOG10(P16)+LOG10(1/$AD16))</f>
        <v>39.962615157572138</v>
      </c>
      <c r="AF16" s="39">
        <f>(12.552/50)*Q16*10^(SUMIFS(Table3!$B:$B,Table3!$A:$A,$B16)+SUMIFS(Table3!$C:$C,Table3!$A:$A,$B16)*LOG10($E16)+SUMIFS(Table3!$D:$D,Table3!$A:$A,$B16)*J16/(SUMIFS(Table3!$E:$E,Table3!$A:$A,$B16)*$D16^7+SUMIFS(Table3!$F:$F,Table3!$A:$A,$B16)*$D16^6+SUMIFS(Table3!$G:$G,Table3!$A:$A,$B16)*$D16^5+SUMIFS(Table3!$H:$H,Table3!$A:$A,$B16)*$D16^4+SUMIFS(Table3!$I:$I,Table3!$A:$A,$B16)*$D16^3+SUMIFS(Table3!$J:$J,Table3!$A:$A,$B16)*$D16^2+SUMIFS(Table3!$K:$K,Table3!$A:$A,$B16)*$D16)+SUMIFS(Table3!$L:$L,Table3!$A:$A,$B16)*LOG10($D16)+SUMIFS(Table3!$M:$M,Table3!$A:$A,$B16)*LOG10($F16)+SUMIFS(Table3!$N:$N,Table3!$A:$A,$B16)*LOG10(J16)+LOG10(1/$AD16))</f>
        <v>43.344953967060327</v>
      </c>
      <c r="AG16" s="39">
        <f>(12.552/50)*Q16*10^(SUMIFS(Table4!$B:$B,Table4!$A:$A,$B16)+SUMIFS(Table4!$C:$C,Table4!$A:$A,$B16)*LOG10($E16)+SUMIFS(Table4!$D:$D,Table4!$A:$A,$B16)*K16/(SUMIFS(Table4!$E:$E,Table4!$A:$A,$B16)*$D16^7+SUMIFS(Table4!$F:$F,Table4!$A:$A,$B16)*$D16^6+SUMIFS(Table4!$G:$G,Table4!$A:$A,$B16)*$D16^5+SUMIFS(Table4!$H:$H,Table4!$A:$A,$B16)*$D16^4+SUMIFS(Table4!$I:$I,Table4!$A:$A,$B16)*$D16^3+SUMIFS(Table4!$J:$J,Table4!$A:$A,$B16)*$D16^2+SUMIFS(Table4!$K:$K,Table4!$A:$A,$B16)*$D16)+SUMIFS(Table4!$L:$L,Table4!$A:$A,$B16)*LOG10($D16)+SUMIFS(Table4!$M:$M,Table4!$A:$A,$B16)*LOG10($F16)+SUMIFS(Table4!$N:$N,Table4!$A:$A,$B16)*LOG10(K16)+LOG10(1/$AD16))</f>
        <v>70.932843271148059</v>
      </c>
      <c r="AH16" s="39">
        <f>(12.552/50)*Q16*10^(SUMIFS(Table5!$B:$B,Table5!$A:$A,$B16)+SUMIFS(Table5!$C:$C,Table5!$A:$A,$B16)*LOG10($E16)+SUMIFS(Table5!$D:$D,Table5!$A:$A,$B16)*L16/(SUMIFS(Table5!$E:$E,Table5!$A:$A,$B16)*$D16^7+SUMIFS(Table5!$F:$F,Table5!$A:$A,$B16)*$D16^6+SUMIFS(Table5!$G:$G,Table5!$A:$A,$B16)*$D16^5+SUMIFS(Table5!$H:$H,Table5!$A:$A,$B16)*$D16^4+SUMIFS(Table5!$I:$I,Table5!$A:$A,$B16)*$D16^3+SUMIFS(Table5!$J:$J,Table5!$A:$A,$B16)*$D16^2+SUMIFS(Table5!$K:$K,Table5!$A:$A,$B16)*$D16)+SUMIFS(Table5!$L:$L,Table5!$A:$A,$B16)*LOG10($D16)+SUMIFS(Table5!$M:$M,Table5!$A:$A,$B16)*LOG10($F16)+SUMIFS(Table5!$N:$N,Table5!$A:$A,$B16)*LOG10(L16)+LOG10(1/$AD16))</f>
        <v>85.036205064522221</v>
      </c>
      <c r="AI16" s="39">
        <f t="shared" si="28"/>
        <v>41.76850314968388</v>
      </c>
      <c r="AJ16" s="39">
        <f t="shared" si="29"/>
        <v>68.233751617588524</v>
      </c>
      <c r="AK16" s="39">
        <f t="shared" si="30"/>
        <v>40.256203237232192</v>
      </c>
      <c r="AL16" s="40">
        <f t="shared" si="31"/>
        <v>39.962615157572138</v>
      </c>
      <c r="AM16" s="42">
        <f>10^((SUMIFS(Table3!$B:$B,Table3!$A:$A,$B16)+SUMIFS(Table3!$C:$C,Table3!$A:$A,$B16)*LOG10($E16)+(SUMIFS(Table3!$D:$D,Table3!$A:$A,$B16)*$J16)/(SUMIFS(Table3!$E:$E,Table3!$A:$A,$B16)*$D16^7+SUMIFS(Table3!$F:$F,Table3!$A:$A,$B16)*$D16^6+SUMIFS(Table3!$G:$G,Table3!$A:$A,$B16)*$D16^5+SUMIFS(Table3!$H:$H,Table3!$A:$A,$B16)*$D16^4+SUMIFS(Table3!$I:$I,Table3!$A:$A,$B16)*$D16^3+SUMIFS(Table3!$J:$J,Table3!$A:$A,$B16)*$D16^2+SUMIFS(Table3!$K:$K,Table3!$A:$A,$B16)*$D16)+SUMIFS(Table3!$L:$L,Table3!$A:$A,$B16)*LOG10($D16)+SUMIFS(Table3!$N:$N,Table3!$A:$A,$B16)*LOG10(P16)+LOG10(1/$AD16)-LOG10(20/Q16))/-SUMIFS(Table3!$M:$M,Table3!$A:$A,$B16))</f>
        <v>1439.148658646312</v>
      </c>
      <c r="AN16" s="42">
        <f>10^((SUMIFS(Table3!$B:$B,Table3!$A:$A,$B16)+SUMIFS(Table3!$C:$C,Table3!$A:$A,$B16)*LOG10($E16)+(SUMIFS(Table3!$D:$D,Table3!$A:$A,$B16)*J16)/(SUMIFS(Table3!$E:$E,Table3!$A:$A,$B16)*$D16^7+SUMIFS(Table3!$F:$F,Table3!$A:$A,$B16)*$D16^6+SUMIFS(Table3!$G:$G,Table3!$A:$A,$B16)*$D16^5+SUMIFS(Table3!$H:$H,Table3!$A:$A,$B16)*$D16^4+SUMIFS(Table3!$I:$I,Table3!$A:$A,$B16)*$D16^3+SUMIFS(Table3!$J:$J,Table3!$A:$A,$B16)*$D16^2+SUMIFS(Table3!$K:$K,Table3!$A:$A,$B16)*$D16)+SUMIFS(Table3!$L:$L,Table3!$A:$A,$B16)*LOG10($D16)+SUMIFS(Table3!$N:$N,Table3!$A:$A,$B16)*LOG10(J16)+LOG10(1/$AD16)-LOG10(20/Q16))/-SUMIFS(Table3!$M:$M,Table3!$A:$A,$B16))</f>
        <v>1505.2571981642686</v>
      </c>
      <c r="AO16" s="42">
        <f>10^((SUMIFS(Table4!$B:$B,Table4!$A:$A,$B16)+SUMIFS(Table4!$C:$C,Table4!$A:$A,$B16)*LOG10($E16)+(SUMIFS(Table4!$D:$D,Table4!$A:$A,$B16)*K16)/(SUMIFS(Table4!$E:$E,Table4!$A:$A,$B16)*$D16^7+SUMIFS(Table4!$F:$F,Table4!$A:$A,$B16)*$D16^6+SUMIFS(Table4!$G:$G,Table4!$A:$A,$B16)*$D16^5+SUMIFS(Table4!$H:$H,Table4!$A:$A,$B16)*$D16^4+SUMIFS(Table4!$I:$I,Table4!$A:$A,$B16)*$D16^3+SUMIFS(Table4!$J:$J,Table4!$A:$A,$B16)*$D16^2+SUMIFS(Table4!$K:$K,Table4!$A:$A,$B16)*$D16)+SUMIFS(Table4!$L:$L,Table4!$A:$A,$B16)*LOG10($D16)+SUMIFS(Table4!$N:$N,Table4!$A:$A,$B16)*LOG10(K16)+LOG10(1/$AD16)-LOG10(20/Q16))/-SUMIFS(Table4!$M:$M,Table4!$A:$A,$B16))</f>
        <v>2090.7865265779606</v>
      </c>
      <c r="AP16" s="42">
        <f>10^((SUMIFS(Table5!$B:$B,Table5!$A:$A,$B16)+SUMIFS(Table5!$C:$C,Table5!$A:$A,$B16)*LOG10($E16)+(SUMIFS(Table5!$D:$D,Table5!$A:$A,$B16)*L16)/(SUMIFS(Table5!$E:$E,Table5!$A:$A,$B16)*$D16^7+SUMIFS(Table5!$F:$F,Table5!$A:$A,$B16)*$D16^6+SUMIFS(Table5!$G:$G,Table5!$A:$A,$B16)*$D16^5+SUMIFS(Table5!$H:$H,Table5!$A:$A,$B16)*$D16^4+SUMIFS(Table5!$I:$I,Table5!$A:$A,$B16)*$D16^3+SUMIFS(Table5!$J:$J,Table5!$A:$A,$B16)*$D16^2+SUMIFS(Table5!$K:$K,Table5!$A:$A,$B16)*$D16)+SUMIFS(Table5!$L:$L,Table5!$A:$A,$B16)*LOG10($D16)+SUMIFS(Table5!$N:$N,Table5!$A:$A,$B16)*LOG10(L16)+LOG10(1/$AD16)-LOG10(20/Q16))/-SUMIFS(Table5!$M:$M,Table5!$A:$A,$B16))</f>
        <v>2470.9371952126071</v>
      </c>
      <c r="AQ16" s="42">
        <f t="shared" si="32"/>
        <v>1471.7983793977719</v>
      </c>
      <c r="AR16" s="42">
        <f t="shared" si="33"/>
        <v>2018.0335537875367</v>
      </c>
      <c r="AS16" s="42">
        <f t="shared" si="34"/>
        <v>1440.5849408612141</v>
      </c>
      <c r="AT16" s="43">
        <f t="shared" si="35"/>
        <v>1439.148658646312</v>
      </c>
      <c r="AU16" s="39">
        <f>SUMIFS(Table2!$B:$B,Table2!$A:$A,$B16)*$C16^6+SUMIFS(Table2!$C:$C,Table2!$A:$A,$B16)*$C16^5+SUMIFS(Table2!$D:$D,Table2!$A:$A,$B16)*$C16^4+SUMIFS(Table2!$E:$E,Table2!$A:$A,$B16)*$C16^3+SUMIFS(Table2!$F:$F,Table2!$A:$A,$B16)*$C16^2+SUMIFS(Table2!$G:$G,Table2!$A:$A,$B16)*$C16+SUMIFS(Table2!$H:$H,Table2!$A:$A,$B16)</f>
        <v>0.23674766277705805</v>
      </c>
      <c r="AV16" s="39">
        <f t="shared" si="36"/>
        <v>0.88162616861147103</v>
      </c>
      <c r="AW16" s="39">
        <f t="shared" si="37"/>
        <v>22.942338968200868</v>
      </c>
      <c r="AX16" s="39">
        <f t="shared" si="38"/>
        <v>23.745069163197648</v>
      </c>
      <c r="AY16" s="39">
        <f t="shared" si="39"/>
        <v>25.899048900941672</v>
      </c>
      <c r="AZ16" s="39">
        <f t="shared" si="40"/>
        <v>22.896468671343911</v>
      </c>
      <c r="BA16" s="39">
        <f t="shared" si="41"/>
        <v>23.332842006491465</v>
      </c>
      <c r="BB16" s="39">
        <f t="shared" si="42"/>
        <v>22.871533052192625</v>
      </c>
      <c r="BC16" s="40">
        <f t="shared" si="43"/>
        <v>21.428251236908565</v>
      </c>
      <c r="BD16" s="41">
        <v>125</v>
      </c>
      <c r="BE16" s="39">
        <f>(12.552/50)*BD16*10^(SUMIFS(Table3!$B:$B,Table3!$A:$A,$B16)+SUMIFS(Table3!$C:$C,Table3!$A:$A,$B16)*LOG10($E16)+SUMIFS(Table3!$D:$D,Table3!$A:$A,$B16)*$J16/(SUMIFS(Table3!$E:$E,Table3!$A:$A,$B16)*$D16^7+SUMIFS(Table3!$F:$F,Table3!$A:$A,$B16)*$D16^6+SUMIFS(Table3!$G:$G,Table3!$A:$A,$B16)*$D16^5+SUMIFS(Table3!$H:$H,Table3!$A:$A,$B16)*$D16^4+SUMIFS(Table3!$I:$I,Table3!$A:$A,$B16)*$D16^3+SUMIFS(Table3!$J:$J,Table3!$A:$A,$B16)*$D16^2+SUMIFS(Table3!$K:$K,Table3!$A:$A,$B16)*$D16)+SUMIFS(Table3!$L:$L,Table3!$A:$A,$B16)*LOG10($D16)+SUMIFS(Table3!$M:$M,Table3!$A:$A,$B16)*LOG10($F16)+SUMIFS(Table3!$N:$N,Table3!$A:$A,$B16)*LOG10(BC16)+LOG10(1/$AD16))</f>
        <v>34.398731134713067</v>
      </c>
      <c r="BF16" s="39">
        <f>(12.552/50)*BD16*10^(SUMIFS(Table3!$B:$B,Table3!$A:$A,$B16)+SUMIFS(Table3!$C:$C,Table3!$A:$A,$B16)*LOG10($E16)+SUMIFS(Table3!$D:$D,Table3!$A:$A,$B16)*AW16/(SUMIFS(Table3!$E:$E,Table3!$A:$A,$B16)*$D16^7+SUMIFS(Table3!$F:$F,Table3!$A:$A,$B16)*$D16^6+SUMIFS(Table3!$G:$G,Table3!$A:$A,$B16)*$D16^5+SUMIFS(Table3!$H:$H,Table3!$A:$A,$B16)*$D16^4+SUMIFS(Table3!$I:$I,Table3!$A:$A,$B16)*$D16^3+SUMIFS(Table3!$J:$J,Table3!$A:$A,$B16)*$D16^2+SUMIFS(Table3!$K:$K,Table3!$A:$A,$B16)*$D16)+SUMIFS(Table3!$L:$L,Table3!$A:$A,$B16)*LOG10($D16)+SUMIFS(Table3!$M:$M,Table3!$A:$A,$B16)*LOG10($F16)+SUMIFS(Table3!$N:$N,Table3!$A:$A,$B16)*LOG10(AW16)+LOG10(1/$AD16))</f>
        <v>38.080168370885325</v>
      </c>
      <c r="BG16" s="39">
        <f>(12.552/50)*BD16*10^(SUMIFS(Table4!$B:$B,Table4!$A:$A,$B16)+SUMIFS(Table4!$C:$C,Table4!$A:$A,$B16)*LOG10($E16)+SUMIFS(Table4!$D:$D,Table4!$A:$A,$B16)*AX16/(SUMIFS(Table4!$E:$E,Table4!$A:$A,$B16)*$D16^7+SUMIFS(Table4!$F:$F,Table4!$A:$A,$B16)*$D16^6+SUMIFS(Table4!$G:$G,Table4!$A:$A,$B16)*$D16^5+SUMIFS(Table4!$H:$H,Table4!$A:$A,$B16)*$D16^4+SUMIFS(Table4!$I:$I,Table4!$A:$A,$B16)*$D16^3+SUMIFS(Table4!$J:$J,Table4!$A:$A,$B16)*$D16^2+SUMIFS(Table4!$K:$K,Table4!$A:$A,$B16)*$D16)+SUMIFS(Table4!$L:$L,Table4!$A:$A,$B16)*LOG10($D16)+SUMIFS(Table4!$M:$M,Table4!$A:$A,$B16)*LOG10($F16)+SUMIFS(Table4!$N:$N,Table4!$A:$A,$B16)*LOG10(AX16)+LOG10(1/$AD16))</f>
        <v>74.831791965780539</v>
      </c>
      <c r="BH16" s="39">
        <f>(12.552/50)*BD16*10^(SUMIFS(Table5!$B:$B,Table5!$A:$A,$B16)+SUMIFS(Table5!$C:$C,Table5!$A:$A,$B16)*LOG10($E16)+SUMIFS(Table5!$D:$D,Table5!$A:$A,$B16)*AY16/(SUMIFS(Table5!$E:$E,Table5!$A:$A,$B16)*$D16^7+SUMIFS(Table5!$F:$F,Table5!$A:$A,$B16)*$D16^6+SUMIFS(Table5!$G:$G,Table5!$A:$A,$B16)*$D16^5+SUMIFS(Table5!$H:$H,Table5!$A:$A,$B16)*$D16^4+SUMIFS(Table5!$I:$I,Table5!$A:$A,$B16)*$D16^3+SUMIFS(Table5!$J:$J,Table5!$A:$A,$B16)*$D16^2+SUMIFS(Table5!$K:$K,Table5!$A:$A,$B16)*$D16)+SUMIFS(Table5!$L:$L,Table5!$A:$A,$B16)*LOG10($D16)+SUMIFS(Table5!$M:$M,Table5!$A:$A,$B16)*LOG10($F16)+SUMIFS(Table5!$N:$N,Table5!$A:$A,$B16)*LOG10(AY16)+LOG10(1/$AD16))</f>
        <v>87.793012252516135</v>
      </c>
      <c r="BI16" s="39">
        <f t="shared" si="44"/>
        <v>35.980075594034162</v>
      </c>
      <c r="BJ16" s="39">
        <f t="shared" si="45"/>
        <v>72.351282566077685</v>
      </c>
      <c r="BK16" s="39">
        <f t="shared" si="46"/>
        <v>33.901720909917387</v>
      </c>
      <c r="BL16" s="40">
        <f t="shared" si="47"/>
        <v>34.398731134713067</v>
      </c>
      <c r="BM16" s="42">
        <f>10^((SUMIFS(Table3!$B:$B,Table3!$A:$A,$B16)+SUMIFS(Table3!$C:$C,Table3!$A:$A,$B16)*LOG10($E16)+(SUMIFS(Table3!$D:$D,Table3!$A:$A,$B16)*$J16)/(SUMIFS(Table3!$E:$E,Table3!$A:$A,$B16)*$D16^7+SUMIFS(Table3!$F:$F,Table3!$A:$A,$B16)*$D16^6+SUMIFS(Table3!$G:$G,Table3!$A:$A,$B16)*$D16^5+SUMIFS(Table3!$H:$H,Table3!$A:$A,$B16)*$D16^4+SUMIFS(Table3!$I:$I,Table3!$A:$A,$B16)*$D16^3+SUMIFS(Table3!$J:$J,Table3!$A:$A,$B16)*$D16^2+SUMIFS(Table3!$K:$K,Table3!$A:$A,$B16)*$D16)+SUMIFS(Table3!$L:$L,Table3!$A:$A,$B16)*LOG10($D16)+SUMIFS(Table3!$N:$N,Table3!$A:$A,$B16)*LOG10(BC16)+LOG10(1/$AD16)-LOG10(20/BD16))/-SUMIFS(Table3!$M:$M,Table3!$A:$A,$B16))</f>
        <v>1324.6848805262059</v>
      </c>
      <c r="BN16" s="42">
        <f>10^((SUMIFS(Table3!$B:$B,Table3!$A:$A,$B16)+SUMIFS(Table3!$C:$C,Table3!$A:$A,$B16)*LOG10($E16)+(SUMIFS(Table3!$D:$D,Table3!$A:$A,$B16)*AW16)/(SUMIFS(Table3!$E:$E,Table3!$A:$A,$B16)*$D16^7+SUMIFS(Table3!$F:$F,Table3!$A:$A,$B16)*$D16^6+SUMIFS(Table3!$G:$G,Table3!$A:$A,$B16)*$D16^5+SUMIFS(Table3!$H:$H,Table3!$A:$A,$B16)*$D16^4+SUMIFS(Table3!$I:$I,Table3!$A:$A,$B16)*$D16^3+SUMIFS(Table3!$J:$J,Table3!$A:$A,$B16)*$D16^2+SUMIFS(Table3!$K:$K,Table3!$A:$A,$B16)*$D16)+SUMIFS(Table3!$L:$L,Table3!$A:$A,$B16)*LOG10($D16)+SUMIFS(Table3!$N:$N,Table3!$A:$A,$B16)*LOG10(AW16)+LOG10(1/$AD16)-LOG10(20/BD16))/-SUMIFS(Table3!$M:$M,Table3!$A:$A,$B16))</f>
        <v>1401.2702017249483</v>
      </c>
      <c r="BO16" s="42">
        <f>10^((SUMIFS(Table4!$B:$B,Table4!$A:$A,$B16)+SUMIFS(Table4!$C:$C,Table4!$A:$A,$B16)*LOG10($E16)+(SUMIFS(Table4!$D:$D,Table4!$A:$A,$B16)*AX16)/(SUMIFS(Table4!$E:$E,Table4!$A:$A,$B16)*$D16^7+SUMIFS(Table4!$F:$F,Table4!$A:$A,$B16)*$D16^6+SUMIFS(Table4!$G:$G,Table4!$A:$A,$B16)*$D16^5+SUMIFS(Table4!$H:$H,Table4!$A:$A,$B16)*$D16^4+SUMIFS(Table4!$I:$I,Table4!$A:$A,$B16)*$D16^3+SUMIFS(Table4!$J:$J,Table4!$A:$A,$B16)*$D16^2+SUMIFS(Table4!$K:$K,Table4!$A:$A,$B16)*$D16)+SUMIFS(Table4!$L:$L,Table4!$A:$A,$B16)*LOG10($D16)+SUMIFS(Table4!$N:$N,Table4!$A:$A,$B16)*LOG10(AX16)+LOG10(1/$AD16)-LOG10(20/BD16))/-SUMIFS(Table4!$M:$M,Table4!$A:$A,$B16))</f>
        <v>2156.0060635638656</v>
      </c>
      <c r="BP16" s="42">
        <f>10^((SUMIFS(Table5!$B:$B,Table5!$A:$A,$B16)+SUMIFS(Table5!$C:$C,Table5!$A:$A,$B16)*LOG10($E16)+(SUMIFS(Table5!$D:$D,Table5!$A:$A,$B16)*AY16)/(SUMIFS(Table5!$E:$E,Table5!$A:$A,$B16)*$D16^7+SUMIFS(Table5!$F:$F,Table5!$A:$A,$B16)*$D16^6+SUMIFS(Table5!$G:$G,Table5!$A:$A,$B16)*$D16^5+SUMIFS(Table5!$H:$H,Table5!$A:$A,$B16)*$D16^4+SUMIFS(Table5!$I:$I,Table5!$A:$A,$B16)*$D16^3+SUMIFS(Table5!$J:$J,Table5!$A:$A,$B16)*$D16^2+SUMIFS(Table5!$K:$K,Table5!$A:$A,$B16)*$D16)+SUMIFS(Table5!$L:$L,Table5!$A:$A,$B16)*LOG10($D16)+SUMIFS(Table5!$N:$N,Table5!$A:$A,$B16)*LOG10(AY16)+LOG10(1/$AD16)-LOG10(20/BD16))/-SUMIFS(Table5!$M:$M,Table5!$A:$A,$B16))</f>
        <v>2518.3966196200527</v>
      </c>
      <c r="BQ16" s="42">
        <f t="shared" si="48"/>
        <v>1358.1424381912959</v>
      </c>
      <c r="BR16" s="42">
        <f t="shared" si="49"/>
        <v>2086.6520088703537</v>
      </c>
      <c r="BS16" s="42">
        <f t="shared" si="50"/>
        <v>1316.5133198667786</v>
      </c>
      <c r="BT16" s="43">
        <f t="shared" si="51"/>
        <v>1324.6848805262059</v>
      </c>
    </row>
    <row r="17" spans="1:72" x14ac:dyDescent="0.2">
      <c r="A17" s="46" t="s">
        <v>184</v>
      </c>
      <c r="B17" s="76" t="s">
        <v>13</v>
      </c>
      <c r="C17" s="41">
        <v>0.48</v>
      </c>
      <c r="D17" s="41">
        <v>28.596</v>
      </c>
      <c r="E17" s="41">
        <v>25</v>
      </c>
      <c r="F17" s="41">
        <v>457.2</v>
      </c>
      <c r="G17" s="41">
        <v>437</v>
      </c>
      <c r="H17" s="41">
        <v>215</v>
      </c>
      <c r="I17" s="41">
        <v>460</v>
      </c>
      <c r="J17" s="39">
        <f>10^(SUMIFS(Table1!$C:$C,Table1!$B:$B,600,Table1!$A:$A,$B17)+SUMIFS(Table1!$D:$D,Table1!$B:$B,600,Table1!$A:$A,$B17)*LOG10($D17)+SUMIFS(Table1!$E:$E,Table1!$B:$B,600,Table1!$A:$A,$B17)*LOG10($E17))*(SUMIFS(Table1!$F:$F,Table1!$B:$B,600,Table1!$A:$A,$B17)*$D17^6+SUMIFS(Table1!$G:$G,Table1!$B:$B,600,Table1!$A:$A,$B17)*$D17^5+SUMIFS(Table1!$H:$H,Table1!$B:$B,600,Table1!$A:$A,$B17)*$D17^4+SUMIFS(Table1!$I:$I,Table1!$B:$B,600,Table1!$A:$A,$B17)*$D17^3+SUMIFS(Table1!$J:$J,Table1!$B:$B,600,Table1!$A:$A,$B17)*$D17^2+SUMIFS(Table1!$K:$K,Table1!$B:$B,600,Table1!$A:$A,$B17)*$D17+SUMIFS(Table1!$L:$L,Table1!$B:$B,600,Table1!$A:$A,$B17))</f>
        <v>24.703784690252867</v>
      </c>
      <c r="K17" s="39">
        <f>10^(SUMIFS(Table1!$C:$C,Table1!$B:$B,2700,Table1!$A:$A,$B17)+SUMIFS(Table1!$D:$D,Table1!$B:$B,2700,Table1!$A:$A,$B17)*LOG10($D17)+SUMIFS(Table1!$E:$E,Table1!$B:$B,2700,Table1!$A:$A,$B17)*LOG10($E17))*(SUMIFS(Table1!$F:$F,Table1!$B:$B,2700,Table1!$A:$A,$B17)*$D17^6+SUMIFS(Table1!$G:$G,Table1!$B:$B,2700,Table1!$A:$A,$B17)*$D17^5+SUMIFS(Table1!$H:$H,Table1!$B:$B,2700,Table1!$A:$A,$B17)*$D17^4+SUMIFS(Table1!$I:$I,Table1!$B:$B,2700,Table1!$A:$A,$B17)*$D17^3+SUMIFS(Table1!$J:$J,Table1!$B:$B,2700,Table1!$A:$A,$B17)*$D17^2+SUMIFS(Table1!$K:$K,Table1!$B:$B,2700,Table1!$A:$A,$B17)*$D17+SUMIFS(Table1!$L:$L,Table1!$B:$B,2700,Table1!$A:$A,$B17))</f>
        <v>25.493710856132754</v>
      </c>
      <c r="L17" s="39">
        <f>10^(SUMIFS(Table1!$C:$C,Table1!$B:$B,14300,Table1!$A:$A,$B17)+SUMIFS(Table1!$D:$D,Table1!$B:$B,14300,Table1!$A:$A,$B17)*LOG10($D17)+SUMIFS(Table1!$E:$E,Table1!$B:$B,14300,Table1!$A:$A,$B17)*LOG10($E17))*(SUMIFS(Table1!$F:$F,Table1!$B:$B,14300,Table1!$A:$A,$B17)*$D17^6+SUMIFS(Table1!$G:$G,Table1!$B:$B,14300,Table1!$A:$A,$B17)*$D17^5+SUMIFS(Table1!$H:$H,Table1!$B:$B,14300,Table1!$A:$A,$B17)*$D17^4+SUMIFS(Table1!$I:$I,Table1!$B:$B,14300,Table1!$A:$A,$B17)*$D17^3+SUMIFS(Table1!$J:$J,Table1!$B:$B,14300,Table1!$A:$A,$B17)*$D17^2+SUMIFS(Table1!$K:$K,Table1!$B:$B,14300,Table1!$A:$A,$B17)*$D17+SUMIFS(Table1!$L:$L,Table1!$B:$B,14300,Table1!$A:$A,$B17))</f>
        <v>27.782830233425205</v>
      </c>
      <c r="M17" s="39">
        <f t="shared" si="0"/>
        <v>24.658646052202588</v>
      </c>
      <c r="N17" s="39">
        <f t="shared" si="1"/>
        <v>25.055620768409543</v>
      </c>
      <c r="O17" s="39">
        <f t="shared" si="2"/>
        <v>24.635961782705049</v>
      </c>
      <c r="P17" s="40">
        <f t="shared" si="52"/>
        <v>23.109829291246218</v>
      </c>
      <c r="Q17" s="41">
        <v>125</v>
      </c>
      <c r="R17" s="45" t="str">
        <f t="shared" si="3"/>
        <v>Typical</v>
      </c>
      <c r="S17" s="36">
        <f t="shared" si="4"/>
        <v>10</v>
      </c>
      <c r="T17" s="36">
        <f t="shared" si="5"/>
        <v>24</v>
      </c>
      <c r="U17" s="36">
        <f t="shared" si="6"/>
        <v>437</v>
      </c>
      <c r="V17" s="36">
        <f>(660.4+($U17-660.4)*($C17+$S17)/$T17)*(1/25.4)</f>
        <v>22.159396325459316</v>
      </c>
      <c r="W17" s="36">
        <f t="shared" si="7"/>
        <v>215</v>
      </c>
      <c r="X17" s="36">
        <f>(660.4+($W17-660.4)*($C17+$S17)/$T17)*(1/25.4)</f>
        <v>18.342860892388448</v>
      </c>
      <c r="Y17" s="37">
        <f>IF($G17&lt;508,IF($R17="Typical",20,0.03937*$G17),IF($G17&lt;=660.4,0.03937*$G17,IF($G17&lt;=1244.6,$V17,$V17)))</f>
        <v>20</v>
      </c>
      <c r="Z17" s="37">
        <f>IF($H17&lt;508,IF($R17="Typical",20,0.03937*$H17),IF($H17&lt;=660.4,0.03937*$H17,IF($H17&lt;=1244.6,IF($B17="VCB",0.03937*$H17,$X17),IF($B17="VCB",49,$X17))))</f>
        <v>20</v>
      </c>
      <c r="AA17" s="39">
        <f>(Z17+Y17)/2</f>
        <v>20</v>
      </c>
      <c r="AB17" s="38">
        <f>SUMIFS(Table7!C:C,Table7!A:A,"Typical",Table7!B:B,$B17)*$AA17^2+SUMIFS(Table7!D:D,Table7!A:A,"Typical",Table7!B:B,$B17)*$AA17+SUMIFS(Table7!E:E,Table7!A:A,"Typical",Table7!B:B,$B17)</f>
        <v>0.99995999999999996</v>
      </c>
      <c r="AC17" s="38">
        <f>1/(SUMIFS(Table7!C:C,Table7!A:A,"Shallow",Table7!B:B,$B17)*$AA17^2+SUMIFS(Table7!D:D,Table7!A:A,"Shallow",Table7!B:B,$B17)*$AA17+SUMIFS(Table7!E:E,Table7!A:A,"Shallow",Table7!B:B,$B17))</f>
        <v>1.0010010010010011</v>
      </c>
      <c r="AD17" s="39">
        <f>IF(R17="Typical",AB17,AC17)</f>
        <v>0.99995999999999996</v>
      </c>
      <c r="AE17" s="39">
        <f>(12.552/50)*Q17*10^(SUMIFS(Table3!$B:$B,Table3!$A:$A,$B17)+SUMIFS(Table3!$C:$C,Table3!$A:$A,$B17)*LOG10($E17)+SUMIFS(Table3!$D:$D,Table3!$A:$A,$B17)*$J17/(SUMIFS(Table3!$E:$E,Table3!$A:$A,$B17)*$D17^7+SUMIFS(Table3!$F:$F,Table3!$A:$A,$B17)*$D17^6+SUMIFS(Table3!$G:$G,Table3!$A:$A,$B17)*$D17^5+SUMIFS(Table3!$H:$H,Table3!$A:$A,$B17)*$D17^4+SUMIFS(Table3!$I:$I,Table3!$A:$A,$B17)*$D17^3+SUMIFS(Table3!$J:$J,Table3!$A:$A,$B17)*$D17^2+SUMIFS(Table3!$K:$K,Table3!$A:$A,$B17)*$D17)+SUMIFS(Table3!$L:$L,Table3!$A:$A,$B17)*LOG10($D17)+SUMIFS(Table3!$M:$M,Table3!$A:$A,$B17)*LOG10($F17)+SUMIFS(Table3!$N:$N,Table3!$A:$A,$B17)*LOG10(P17)+LOG10(1/$AD17))</f>
        <v>37.754579793719543</v>
      </c>
      <c r="AF17" s="39">
        <f>(12.552/50)*Q17*10^(SUMIFS(Table3!$B:$B,Table3!$A:$A,$B17)+SUMIFS(Table3!$C:$C,Table3!$A:$A,$B17)*LOG10($E17)+SUMIFS(Table3!$D:$D,Table3!$A:$A,$B17)*J17/(SUMIFS(Table3!$E:$E,Table3!$A:$A,$B17)*$D17^7+SUMIFS(Table3!$F:$F,Table3!$A:$A,$B17)*$D17^6+SUMIFS(Table3!$G:$G,Table3!$A:$A,$B17)*$D17^5+SUMIFS(Table3!$H:$H,Table3!$A:$A,$B17)*$D17^4+SUMIFS(Table3!$I:$I,Table3!$A:$A,$B17)*$D17^3+SUMIFS(Table3!$J:$J,Table3!$A:$A,$B17)*$D17^2+SUMIFS(Table3!$K:$K,Table3!$A:$A,$B17)*$D17)+SUMIFS(Table3!$L:$L,Table3!$A:$A,$B17)*LOG10($D17)+SUMIFS(Table3!$M:$M,Table3!$A:$A,$B17)*LOG10($F17)+SUMIFS(Table3!$N:$N,Table3!$A:$A,$B17)*LOG10(J17)+LOG10(1/$AD17))</f>
        <v>40.873335557126232</v>
      </c>
      <c r="AG17" s="39">
        <f>(12.552/50)*Q17*10^(SUMIFS(Table4!$B:$B,Table4!$A:$A,$B17)+SUMIFS(Table4!$C:$C,Table4!$A:$A,$B17)*LOG10($E17)+SUMIFS(Table4!$D:$D,Table4!$A:$A,$B17)*K17/(SUMIFS(Table4!$E:$E,Table4!$A:$A,$B17)*$D17^7+SUMIFS(Table4!$F:$F,Table4!$A:$A,$B17)*$D17^6+SUMIFS(Table4!$G:$G,Table4!$A:$A,$B17)*$D17^5+SUMIFS(Table4!$H:$H,Table4!$A:$A,$B17)*$D17^4+SUMIFS(Table4!$I:$I,Table4!$A:$A,$B17)*$D17^3+SUMIFS(Table4!$J:$J,Table4!$A:$A,$B17)*$D17^2+SUMIFS(Table4!$K:$K,Table4!$A:$A,$B17)*$D17)+SUMIFS(Table4!$L:$L,Table4!$A:$A,$B17)*LOG10($D17)+SUMIFS(Table4!$M:$M,Table4!$A:$A,$B17)*LOG10($F17)+SUMIFS(Table4!$N:$N,Table4!$A:$A,$B17)*LOG10(K17)+LOG10(1/$AD17))</f>
        <v>66.780121966730562</v>
      </c>
      <c r="AH17" s="39">
        <f>(12.552/50)*Q17*10^(SUMIFS(Table5!$B:$B,Table5!$A:$A,$B17)+SUMIFS(Table5!$C:$C,Table5!$A:$A,$B17)*LOG10($E17)+SUMIFS(Table5!$D:$D,Table5!$A:$A,$B17)*L17/(SUMIFS(Table5!$E:$E,Table5!$A:$A,$B17)*$D17^7+SUMIFS(Table5!$F:$F,Table5!$A:$A,$B17)*$D17^6+SUMIFS(Table5!$G:$G,Table5!$A:$A,$B17)*$D17^5+SUMIFS(Table5!$H:$H,Table5!$A:$A,$B17)*$D17^4+SUMIFS(Table5!$I:$I,Table5!$A:$A,$B17)*$D17^3+SUMIFS(Table5!$J:$J,Table5!$A:$A,$B17)*$D17^2+SUMIFS(Table5!$K:$K,Table5!$A:$A,$B17)*$D17)+SUMIFS(Table5!$L:$L,Table5!$A:$A,$B17)*LOG10($D17)+SUMIFS(Table5!$M:$M,Table5!$A:$A,$B17)*LOG10($F17)+SUMIFS(Table5!$N:$N,Table5!$A:$A,$B17)*LOG10(L17)+LOG10(1/$AD17))</f>
        <v>80.217563476809048</v>
      </c>
      <c r="AI17" s="39">
        <f t="shared" si="28"/>
        <v>39.392947762291698</v>
      </c>
      <c r="AJ17" s="39">
        <f t="shared" si="29"/>
        <v>64.208473677732783</v>
      </c>
      <c r="AK17" s="39">
        <f t="shared" si="30"/>
        <v>37.97491770998078</v>
      </c>
      <c r="AL17" s="40">
        <f t="shared" si="31"/>
        <v>37.754579793719543</v>
      </c>
      <c r="AM17" s="42">
        <f>10^((SUMIFS(Table3!$B:$B,Table3!$A:$A,$B17)+SUMIFS(Table3!$C:$C,Table3!$A:$A,$B17)*LOG10($E17)+(SUMIFS(Table3!$D:$D,Table3!$A:$A,$B17)*$J17)/(SUMIFS(Table3!$E:$E,Table3!$A:$A,$B17)*$D17^7+SUMIFS(Table3!$F:$F,Table3!$A:$A,$B17)*$D17^6+SUMIFS(Table3!$G:$G,Table3!$A:$A,$B17)*$D17^5+SUMIFS(Table3!$H:$H,Table3!$A:$A,$B17)*$D17^4+SUMIFS(Table3!$I:$I,Table3!$A:$A,$B17)*$D17^3+SUMIFS(Table3!$J:$J,Table3!$A:$A,$B17)*$D17^2+SUMIFS(Table3!$K:$K,Table3!$A:$A,$B17)*$D17)+SUMIFS(Table3!$L:$L,Table3!$A:$A,$B17)*LOG10($D17)+SUMIFS(Table3!$N:$N,Table3!$A:$A,$B17)*LOG10(P17)+LOG10(1/$AD17)-LOG10(20/Q17))/-SUMIFS(Table3!$M:$M,Table3!$A:$A,$B17))</f>
        <v>1394.6345044912318</v>
      </c>
      <c r="AN17" s="42">
        <f>10^((SUMIFS(Table3!$B:$B,Table3!$A:$A,$B17)+SUMIFS(Table3!$C:$C,Table3!$A:$A,$B17)*LOG10($E17)+(SUMIFS(Table3!$D:$D,Table3!$A:$A,$B17)*J17)/(SUMIFS(Table3!$E:$E,Table3!$A:$A,$B17)*$D17^7+SUMIFS(Table3!$F:$F,Table3!$A:$A,$B17)*$D17^6+SUMIFS(Table3!$G:$G,Table3!$A:$A,$B17)*$D17^5+SUMIFS(Table3!$H:$H,Table3!$A:$A,$B17)*$D17^4+SUMIFS(Table3!$I:$I,Table3!$A:$A,$B17)*$D17^3+SUMIFS(Table3!$J:$J,Table3!$A:$A,$B17)*$D17^2+SUMIFS(Table3!$K:$K,Table3!$A:$A,$B17)*$D17)+SUMIFS(Table3!$L:$L,Table3!$A:$A,$B17)*LOG10($D17)+SUMIFS(Table3!$N:$N,Table3!$A:$A,$B17)*LOG10(J17)+LOG10(1/$AD17)-LOG10(20/Q17))/-SUMIFS(Table3!$M:$M,Table3!$A:$A,$B17))</f>
        <v>1457.1872924764436</v>
      </c>
      <c r="AO17" s="42">
        <f>10^((SUMIFS(Table4!$B:$B,Table4!$A:$A,$B17)+SUMIFS(Table4!$C:$C,Table4!$A:$A,$B17)*LOG10($E17)+(SUMIFS(Table4!$D:$D,Table4!$A:$A,$B17)*K17)/(SUMIFS(Table4!$E:$E,Table4!$A:$A,$B17)*$D17^7+SUMIFS(Table4!$F:$F,Table4!$A:$A,$B17)*$D17^6+SUMIFS(Table4!$G:$G,Table4!$A:$A,$B17)*$D17^5+SUMIFS(Table4!$H:$H,Table4!$A:$A,$B17)*$D17^4+SUMIFS(Table4!$I:$I,Table4!$A:$A,$B17)*$D17^3+SUMIFS(Table4!$J:$J,Table4!$A:$A,$B17)*$D17^2+SUMIFS(Table4!$K:$K,Table4!$A:$A,$B17)*$D17)+SUMIFS(Table4!$L:$L,Table4!$A:$A,$B17)*LOG10($D17)+SUMIFS(Table4!$N:$N,Table4!$A:$A,$B17)*LOG10(K17)+LOG10(1/$AD17)-LOG10(20/Q17))/-SUMIFS(Table4!$M:$M,Table4!$A:$A,$B17))</f>
        <v>2019.6188565015841</v>
      </c>
      <c r="AP17" s="42">
        <f>10^((SUMIFS(Table5!$B:$B,Table5!$A:$A,$B17)+SUMIFS(Table5!$C:$C,Table5!$A:$A,$B17)*LOG10($E17)+(SUMIFS(Table5!$D:$D,Table5!$A:$A,$B17)*L17)/(SUMIFS(Table5!$E:$E,Table5!$A:$A,$B17)*$D17^7+SUMIFS(Table5!$F:$F,Table5!$A:$A,$B17)*$D17^6+SUMIFS(Table5!$G:$G,Table5!$A:$A,$B17)*$D17^5+SUMIFS(Table5!$H:$H,Table5!$A:$A,$B17)*$D17^4+SUMIFS(Table5!$I:$I,Table5!$A:$A,$B17)*$D17^3+SUMIFS(Table5!$J:$J,Table5!$A:$A,$B17)*$D17^2+SUMIFS(Table5!$K:$K,Table5!$A:$A,$B17)*$D17)+SUMIFS(Table5!$L:$L,Table5!$A:$A,$B17)*LOG10($D17)+SUMIFS(Table5!$N:$N,Table5!$A:$A,$B17)*LOG10(L17)+LOG10(1/$AD17)-LOG10(20/Q17))/-SUMIFS(Table5!$M:$M,Table5!$A:$A,$B17))</f>
        <v>2386.4631231264043</v>
      </c>
      <c r="AQ17" s="42">
        <f t="shared" si="32"/>
        <v>1425.0483459607212</v>
      </c>
      <c r="AR17" s="42">
        <f t="shared" si="33"/>
        <v>1949.412453750972</v>
      </c>
      <c r="AS17" s="42">
        <f t="shared" si="34"/>
        <v>1395.0846826584211</v>
      </c>
      <c r="AT17" s="43">
        <f t="shared" si="35"/>
        <v>1394.6345044912318</v>
      </c>
      <c r="AU17" s="39">
        <f>SUMIFS(Table2!$B:$B,Table2!$A:$A,$B17)*$C17^6+SUMIFS(Table2!$C:$C,Table2!$A:$A,$B17)*$C17^5+SUMIFS(Table2!$D:$D,Table2!$A:$A,$B17)*$C17^4+SUMIFS(Table2!$E:$E,Table2!$A:$A,$B17)*$C17^3+SUMIFS(Table2!$F:$F,Table2!$A:$A,$B17)*$C17^2+SUMIFS(Table2!$G:$G,Table2!$A:$A,$B17)*$C17+SUMIFS(Table2!$H:$H,Table2!$A:$A,$B17)</f>
        <v>0.23674766277705805</v>
      </c>
      <c r="AV17" s="39">
        <f t="shared" si="36"/>
        <v>0.88162616861147103</v>
      </c>
      <c r="AW17" s="39">
        <f t="shared" si="37"/>
        <v>21.779503046670349</v>
      </c>
      <c r="AX17" s="39">
        <f t="shared" si="38"/>
        <v>22.475922625780985</v>
      </c>
      <c r="AY17" s="39">
        <f t="shared" si="39"/>
        <v>24.494070171877606</v>
      </c>
      <c r="AZ17" s="39">
        <f t="shared" si="40"/>
        <v>21.739707642149742</v>
      </c>
      <c r="BA17" s="39">
        <f t="shared" si="41"/>
        <v>22.089690940234906</v>
      </c>
      <c r="BB17" s="39">
        <f t="shared" si="42"/>
        <v>21.719708596544876</v>
      </c>
      <c r="BC17" s="40">
        <f t="shared" si="43"/>
        <v>20.37423025530655</v>
      </c>
      <c r="BD17" s="41">
        <v>125</v>
      </c>
      <c r="BE17" s="39">
        <f>(12.552/50)*BD17*10^(SUMIFS(Table3!$B:$B,Table3!$A:$A,$B17)+SUMIFS(Table3!$C:$C,Table3!$A:$A,$B17)*LOG10($E17)+SUMIFS(Table3!$D:$D,Table3!$A:$A,$B17)*$J17/(SUMIFS(Table3!$E:$E,Table3!$A:$A,$B17)*$D17^7+SUMIFS(Table3!$F:$F,Table3!$A:$A,$B17)*$D17^6+SUMIFS(Table3!$G:$G,Table3!$A:$A,$B17)*$D17^5+SUMIFS(Table3!$H:$H,Table3!$A:$A,$B17)*$D17^4+SUMIFS(Table3!$I:$I,Table3!$A:$A,$B17)*$D17^3+SUMIFS(Table3!$J:$J,Table3!$A:$A,$B17)*$D17^2+SUMIFS(Table3!$K:$K,Table3!$A:$A,$B17)*$D17)+SUMIFS(Table3!$L:$L,Table3!$A:$A,$B17)*LOG10($D17)+SUMIFS(Table3!$M:$M,Table3!$A:$A,$B17)*LOG10($F17)+SUMIFS(Table3!$N:$N,Table3!$A:$A,$B17)*LOG10(BC17)+LOG10(1/$AD17))</f>
        <v>32.498114407864257</v>
      </c>
      <c r="BF17" s="39">
        <f>(12.552/50)*BD17*10^(SUMIFS(Table3!$B:$B,Table3!$A:$A,$B17)+SUMIFS(Table3!$C:$C,Table3!$A:$A,$B17)*LOG10($E17)+SUMIFS(Table3!$D:$D,Table3!$A:$A,$B17)*AW17/(SUMIFS(Table3!$E:$E,Table3!$A:$A,$B17)*$D17^7+SUMIFS(Table3!$F:$F,Table3!$A:$A,$B17)*$D17^6+SUMIFS(Table3!$G:$G,Table3!$A:$A,$B17)*$D17^5+SUMIFS(Table3!$H:$H,Table3!$A:$A,$B17)*$D17^4+SUMIFS(Table3!$I:$I,Table3!$A:$A,$B17)*$D17^3+SUMIFS(Table3!$J:$J,Table3!$A:$A,$B17)*$D17^2+SUMIFS(Table3!$K:$K,Table3!$A:$A,$B17)*$D17)+SUMIFS(Table3!$L:$L,Table3!$A:$A,$B17)*LOG10($D17)+SUMIFS(Table3!$M:$M,Table3!$A:$A,$B17)*LOG10($F17)+SUMIFS(Table3!$N:$N,Table3!$A:$A,$B17)*LOG10(AW17)+LOG10(1/$AD17))</f>
        <v>35.909585728468862</v>
      </c>
      <c r="BG17" s="39">
        <f>(12.552/50)*BD17*10^(SUMIFS(Table4!$B:$B,Table4!$A:$A,$B17)+SUMIFS(Table4!$C:$C,Table4!$A:$A,$B17)*LOG10($E17)+SUMIFS(Table4!$D:$D,Table4!$A:$A,$B17)*AX17/(SUMIFS(Table4!$E:$E,Table4!$A:$A,$B17)*$D17^7+SUMIFS(Table4!$F:$F,Table4!$A:$A,$B17)*$D17^6+SUMIFS(Table4!$G:$G,Table4!$A:$A,$B17)*$D17^5+SUMIFS(Table4!$H:$H,Table4!$A:$A,$B17)*$D17^4+SUMIFS(Table4!$I:$I,Table4!$A:$A,$B17)*$D17^3+SUMIFS(Table4!$J:$J,Table4!$A:$A,$B17)*$D17^2+SUMIFS(Table4!$K:$K,Table4!$A:$A,$B17)*$D17)+SUMIFS(Table4!$L:$L,Table4!$A:$A,$B17)*LOG10($D17)+SUMIFS(Table4!$M:$M,Table4!$A:$A,$B17)*LOG10($F17)+SUMIFS(Table4!$N:$N,Table4!$A:$A,$B17)*LOG10(AX17)+LOG10(1/$AD17))</f>
        <v>70.454596196541431</v>
      </c>
      <c r="BH17" s="39">
        <f>(12.552/50)*BD17*10^(SUMIFS(Table5!$B:$B,Table5!$A:$A,$B17)+SUMIFS(Table5!$C:$C,Table5!$A:$A,$B17)*LOG10($E17)+SUMIFS(Table5!$D:$D,Table5!$A:$A,$B17)*AY17/(SUMIFS(Table5!$E:$E,Table5!$A:$A,$B17)*$D17^7+SUMIFS(Table5!$F:$F,Table5!$A:$A,$B17)*$D17^6+SUMIFS(Table5!$G:$G,Table5!$A:$A,$B17)*$D17^5+SUMIFS(Table5!$H:$H,Table5!$A:$A,$B17)*$D17^4+SUMIFS(Table5!$I:$I,Table5!$A:$A,$B17)*$D17^3+SUMIFS(Table5!$J:$J,Table5!$A:$A,$B17)*$D17^2+SUMIFS(Table5!$K:$K,Table5!$A:$A,$B17)*$D17)+SUMIFS(Table5!$L:$L,Table5!$A:$A,$B17)*LOG10($D17)+SUMIFS(Table5!$M:$M,Table5!$A:$A,$B17)*LOG10($F17)+SUMIFS(Table5!$N:$N,Table5!$A:$A,$B17)*LOG10(AY17)+LOG10(1/$AD17))</f>
        <v>82.810438274419568</v>
      </c>
      <c r="BI17" s="39">
        <f t="shared" si="44"/>
        <v>33.935585130293283</v>
      </c>
      <c r="BJ17" s="39">
        <f t="shared" si="45"/>
        <v>68.089943660947512</v>
      </c>
      <c r="BK17" s="39">
        <f t="shared" si="46"/>
        <v>31.983907499970186</v>
      </c>
      <c r="BL17" s="40">
        <f t="shared" si="47"/>
        <v>32.498114407864257</v>
      </c>
      <c r="BM17" s="42">
        <f>10^((SUMIFS(Table3!$B:$B,Table3!$A:$A,$B17)+SUMIFS(Table3!$C:$C,Table3!$A:$A,$B17)*LOG10($E17)+(SUMIFS(Table3!$D:$D,Table3!$A:$A,$B17)*$J17)/(SUMIFS(Table3!$E:$E,Table3!$A:$A,$B17)*$D17^7+SUMIFS(Table3!$F:$F,Table3!$A:$A,$B17)*$D17^6+SUMIFS(Table3!$G:$G,Table3!$A:$A,$B17)*$D17^5+SUMIFS(Table3!$H:$H,Table3!$A:$A,$B17)*$D17^4+SUMIFS(Table3!$I:$I,Table3!$A:$A,$B17)*$D17^3+SUMIFS(Table3!$J:$J,Table3!$A:$A,$B17)*$D17^2+SUMIFS(Table3!$K:$K,Table3!$A:$A,$B17)*$D17)+SUMIFS(Table3!$L:$L,Table3!$A:$A,$B17)*LOG10($D17)+SUMIFS(Table3!$N:$N,Table3!$A:$A,$B17)*LOG10(BC17)+LOG10(1/$AD17)-LOG10(20/BD17))/-SUMIFS(Table3!$M:$M,Table3!$A:$A,$B17))</f>
        <v>1283.7111933227475</v>
      </c>
      <c r="BN17" s="42">
        <f>10^((SUMIFS(Table3!$B:$B,Table3!$A:$A,$B17)+SUMIFS(Table3!$C:$C,Table3!$A:$A,$B17)*LOG10($E17)+(SUMIFS(Table3!$D:$D,Table3!$A:$A,$B17)*AW17)/(SUMIFS(Table3!$E:$E,Table3!$A:$A,$B17)*$D17^7+SUMIFS(Table3!$F:$F,Table3!$A:$A,$B17)*$D17^6+SUMIFS(Table3!$G:$G,Table3!$A:$A,$B17)*$D17^5+SUMIFS(Table3!$H:$H,Table3!$A:$A,$B17)*$D17^4+SUMIFS(Table3!$I:$I,Table3!$A:$A,$B17)*$D17^3+SUMIFS(Table3!$J:$J,Table3!$A:$A,$B17)*$D17^2+SUMIFS(Table3!$K:$K,Table3!$A:$A,$B17)*$D17)+SUMIFS(Table3!$L:$L,Table3!$A:$A,$B17)*LOG10($D17)+SUMIFS(Table3!$N:$N,Table3!$A:$A,$B17)*LOG10(AW17)+LOG10(1/$AD17)-LOG10(20/BD17))/-SUMIFS(Table3!$M:$M,Table3!$A:$A,$B17))</f>
        <v>1356.538354555245</v>
      </c>
      <c r="BO17" s="42">
        <f>10^((SUMIFS(Table4!$B:$B,Table4!$A:$A,$B17)+SUMIFS(Table4!$C:$C,Table4!$A:$A,$B17)*LOG10($E17)+(SUMIFS(Table4!$D:$D,Table4!$A:$A,$B17)*AX17)/(SUMIFS(Table4!$E:$E,Table4!$A:$A,$B17)*$D17^7+SUMIFS(Table4!$F:$F,Table4!$A:$A,$B17)*$D17^6+SUMIFS(Table4!$G:$G,Table4!$A:$A,$B17)*$D17^5+SUMIFS(Table4!$H:$H,Table4!$A:$A,$B17)*$D17^4+SUMIFS(Table4!$I:$I,Table4!$A:$A,$B17)*$D17^3+SUMIFS(Table4!$J:$J,Table4!$A:$A,$B17)*$D17^2+SUMIFS(Table4!$K:$K,Table4!$A:$A,$B17)*$D17)+SUMIFS(Table4!$L:$L,Table4!$A:$A,$B17)*LOG10($D17)+SUMIFS(Table4!$N:$N,Table4!$A:$A,$B17)*LOG10(AX17)+LOG10(1/$AD17)-LOG10(20/BD17))/-SUMIFS(Table4!$M:$M,Table4!$A:$A,$B17))</f>
        <v>2082.6826715142629</v>
      </c>
      <c r="BP17" s="42">
        <f>10^((SUMIFS(Table5!$B:$B,Table5!$A:$A,$B17)+SUMIFS(Table5!$C:$C,Table5!$A:$A,$B17)*LOG10($E17)+(SUMIFS(Table5!$D:$D,Table5!$A:$A,$B17)*AY17)/(SUMIFS(Table5!$E:$E,Table5!$A:$A,$B17)*$D17^7+SUMIFS(Table5!$F:$F,Table5!$A:$A,$B17)*$D17^6+SUMIFS(Table5!$G:$G,Table5!$A:$A,$B17)*$D17^5+SUMIFS(Table5!$H:$H,Table5!$A:$A,$B17)*$D17^4+SUMIFS(Table5!$I:$I,Table5!$A:$A,$B17)*$D17^3+SUMIFS(Table5!$J:$J,Table5!$A:$A,$B17)*$D17^2+SUMIFS(Table5!$K:$K,Table5!$A:$A,$B17)*$D17)+SUMIFS(Table5!$L:$L,Table5!$A:$A,$B17)*LOG10($D17)+SUMIFS(Table5!$N:$N,Table5!$A:$A,$B17)*LOG10(AY17)+LOG10(1/$AD17)-LOG10(20/BD17))/-SUMIFS(Table5!$M:$M,Table5!$A:$A,$B17))</f>
        <v>2432.1649206874022</v>
      </c>
      <c r="BQ17" s="42">
        <f t="shared" si="48"/>
        <v>1315.0443935861581</v>
      </c>
      <c r="BR17" s="42">
        <f t="shared" si="49"/>
        <v>2015.7989996897484</v>
      </c>
      <c r="BS17" s="42">
        <f t="shared" si="50"/>
        <v>1275.0012732373816</v>
      </c>
      <c r="BT17" s="43">
        <f t="shared" si="51"/>
        <v>1283.7111933227475</v>
      </c>
    </row>
    <row r="18" spans="1:72" x14ac:dyDescent="0.2">
      <c r="A18" s="46" t="s">
        <v>185</v>
      </c>
      <c r="B18" s="76" t="s">
        <v>13</v>
      </c>
      <c r="C18" s="41">
        <v>0.48</v>
      </c>
      <c r="D18" s="41">
        <v>30.253</v>
      </c>
      <c r="E18" s="41">
        <v>25</v>
      </c>
      <c r="F18" s="41">
        <v>457.2</v>
      </c>
      <c r="G18" s="41">
        <v>437</v>
      </c>
      <c r="H18" s="41">
        <v>215</v>
      </c>
      <c r="I18" s="41">
        <v>460</v>
      </c>
      <c r="J18" s="39">
        <f>10^(SUMIFS(Table1!$C:$C,Table1!$B:$B,600,Table1!$A:$A,$B18)+SUMIFS(Table1!$D:$D,Table1!$B:$B,600,Table1!$A:$A,$B18)*LOG10($D18)+SUMIFS(Table1!$E:$E,Table1!$B:$B,600,Table1!$A:$A,$B18)*LOG10($E18))*(SUMIFS(Table1!$F:$F,Table1!$B:$B,600,Table1!$A:$A,$B18)*$D18^6+SUMIFS(Table1!$G:$G,Table1!$B:$B,600,Table1!$A:$A,$B18)*$D18^5+SUMIFS(Table1!$H:$H,Table1!$B:$B,600,Table1!$A:$A,$B18)*$D18^4+SUMIFS(Table1!$I:$I,Table1!$B:$B,600,Table1!$A:$A,$B18)*$D18^3+SUMIFS(Table1!$J:$J,Table1!$B:$B,600,Table1!$A:$A,$B18)*$D18^2+SUMIFS(Table1!$K:$K,Table1!$B:$B,600,Table1!$A:$A,$B18)*$D18+SUMIFS(Table1!$L:$L,Table1!$B:$B,600,Table1!$A:$A,$B18))</f>
        <v>26.022751802313461</v>
      </c>
      <c r="K18" s="39">
        <f>10^(SUMIFS(Table1!$C:$C,Table1!$B:$B,2700,Table1!$A:$A,$B18)+SUMIFS(Table1!$D:$D,Table1!$B:$B,2700,Table1!$A:$A,$B18)*LOG10($D18)+SUMIFS(Table1!$E:$E,Table1!$B:$B,2700,Table1!$A:$A,$B18)*LOG10($E18))*(SUMIFS(Table1!$F:$F,Table1!$B:$B,2700,Table1!$A:$A,$B18)*$D18^6+SUMIFS(Table1!$G:$G,Table1!$B:$B,2700,Table1!$A:$A,$B18)*$D18^5+SUMIFS(Table1!$H:$H,Table1!$B:$B,2700,Table1!$A:$A,$B18)*$D18^4+SUMIFS(Table1!$I:$I,Table1!$B:$B,2700,Table1!$A:$A,$B18)*$D18^3+SUMIFS(Table1!$J:$J,Table1!$B:$B,2700,Table1!$A:$A,$B18)*$D18^2+SUMIFS(Table1!$K:$K,Table1!$B:$B,2700,Table1!$A:$A,$B18)*$D18+SUMIFS(Table1!$L:$L,Table1!$B:$B,2700,Table1!$A:$A,$B18))</f>
        <v>26.933262655525827</v>
      </c>
      <c r="L18" s="39">
        <f>10^(SUMIFS(Table1!$C:$C,Table1!$B:$B,14300,Table1!$A:$A,$B18)+SUMIFS(Table1!$D:$D,Table1!$B:$B,14300,Table1!$A:$A,$B18)*LOG10($D18)+SUMIFS(Table1!$E:$E,Table1!$B:$B,14300,Table1!$A:$A,$B18)*LOG10($E18))*(SUMIFS(Table1!$F:$F,Table1!$B:$B,14300,Table1!$A:$A,$B18)*$D18^6+SUMIFS(Table1!$G:$G,Table1!$B:$B,14300,Table1!$A:$A,$B18)*$D18^5+SUMIFS(Table1!$H:$H,Table1!$B:$B,14300,Table1!$A:$A,$B18)*$D18^4+SUMIFS(Table1!$I:$I,Table1!$B:$B,14300,Table1!$A:$A,$B18)*$D18^3+SUMIFS(Table1!$J:$J,Table1!$B:$B,14300,Table1!$A:$A,$B18)*$D18^2+SUMIFS(Table1!$K:$K,Table1!$B:$B,14300,Table1!$A:$A,$B18)*$D18+SUMIFS(Table1!$L:$L,Table1!$B:$B,14300,Table1!$A:$A,$B18))</f>
        <v>29.376452087092339</v>
      </c>
      <c r="M18" s="39">
        <f t="shared" si="0"/>
        <v>25.970722610701326</v>
      </c>
      <c r="N18" s="39">
        <f t="shared" si="1"/>
        <v>26.465686747070855</v>
      </c>
      <c r="O18" s="39">
        <f t="shared" si="2"/>
        <v>25.942438945765929</v>
      </c>
      <c r="P18" s="40">
        <f t="shared" si="52"/>
        <v>24.305371142348552</v>
      </c>
      <c r="Q18" s="41">
        <v>125</v>
      </c>
      <c r="R18" s="45" t="str">
        <f t="shared" si="3"/>
        <v>Typical</v>
      </c>
      <c r="S18" s="36">
        <f t="shared" si="4"/>
        <v>10</v>
      </c>
      <c r="T18" s="36">
        <f t="shared" si="5"/>
        <v>24</v>
      </c>
      <c r="U18" s="36">
        <f t="shared" si="6"/>
        <v>437</v>
      </c>
      <c r="V18" s="36">
        <f>(660.4+($U18-660.4)*($C18+$S18)/$T18)*(1/25.4)</f>
        <v>22.159396325459316</v>
      </c>
      <c r="W18" s="36">
        <f t="shared" si="7"/>
        <v>215</v>
      </c>
      <c r="X18" s="36">
        <f>(660.4+($W18-660.4)*($C18+$S18)/$T18)*(1/25.4)</f>
        <v>18.342860892388448</v>
      </c>
      <c r="Y18" s="37">
        <f>IF($G18&lt;508,IF($R18="Typical",20,0.03937*$G18),IF($G18&lt;=660.4,0.03937*$G18,IF($G18&lt;=1244.6,$V18,$V18)))</f>
        <v>20</v>
      </c>
      <c r="Z18" s="37">
        <f>IF($H18&lt;508,IF($R18="Typical",20,0.03937*$H18),IF($H18&lt;=660.4,0.03937*$H18,IF($H18&lt;=1244.6,IF($B18="VCB",0.03937*$H18,$X18),IF($B18="VCB",49,$X18))))</f>
        <v>20</v>
      </c>
      <c r="AA18" s="39">
        <f>(Z18+Y18)/2</f>
        <v>20</v>
      </c>
      <c r="AB18" s="38">
        <f>SUMIFS(Table7!C:C,Table7!A:A,"Typical",Table7!B:B,$B18)*$AA18^2+SUMIFS(Table7!D:D,Table7!A:A,"Typical",Table7!B:B,$B18)*$AA18+SUMIFS(Table7!E:E,Table7!A:A,"Typical",Table7!B:B,$B18)</f>
        <v>0.99995999999999996</v>
      </c>
      <c r="AC18" s="38">
        <f>1/(SUMIFS(Table7!C:C,Table7!A:A,"Shallow",Table7!B:B,$B18)*$AA18^2+SUMIFS(Table7!D:D,Table7!A:A,"Shallow",Table7!B:B,$B18)*$AA18+SUMIFS(Table7!E:E,Table7!A:A,"Shallow",Table7!B:B,$B18))</f>
        <v>1.0010010010010011</v>
      </c>
      <c r="AD18" s="39">
        <f>IF(R18="Typical",AB18,AC18)</f>
        <v>0.99995999999999996</v>
      </c>
      <c r="AE18" s="39">
        <f>(12.552/50)*Q18*10^(SUMIFS(Table3!$B:$B,Table3!$A:$A,$B18)+SUMIFS(Table3!$C:$C,Table3!$A:$A,$B18)*LOG10($E18)+SUMIFS(Table3!$D:$D,Table3!$A:$A,$B18)*$J18/(SUMIFS(Table3!$E:$E,Table3!$A:$A,$B18)*$D18^7+SUMIFS(Table3!$F:$F,Table3!$A:$A,$B18)*$D18^6+SUMIFS(Table3!$G:$G,Table3!$A:$A,$B18)*$D18^5+SUMIFS(Table3!$H:$H,Table3!$A:$A,$B18)*$D18^4+SUMIFS(Table3!$I:$I,Table3!$A:$A,$B18)*$D18^3+SUMIFS(Table3!$J:$J,Table3!$A:$A,$B18)*$D18^2+SUMIFS(Table3!$K:$K,Table3!$A:$A,$B18)*$D18)+SUMIFS(Table3!$L:$L,Table3!$A:$A,$B18)*LOG10($D18)+SUMIFS(Table3!$M:$M,Table3!$A:$A,$B18)*LOG10($F18)+SUMIFS(Table3!$N:$N,Table3!$A:$A,$B18)*LOG10(P18)+LOG10(1/$AD18))</f>
        <v>39.962615157572138</v>
      </c>
      <c r="AF18" s="39">
        <f>(12.552/50)*Q18*10^(SUMIFS(Table3!$B:$B,Table3!$A:$A,$B18)+SUMIFS(Table3!$C:$C,Table3!$A:$A,$B18)*LOG10($E18)+SUMIFS(Table3!$D:$D,Table3!$A:$A,$B18)*J18/(SUMIFS(Table3!$E:$E,Table3!$A:$A,$B18)*$D18^7+SUMIFS(Table3!$F:$F,Table3!$A:$A,$B18)*$D18^6+SUMIFS(Table3!$G:$G,Table3!$A:$A,$B18)*$D18^5+SUMIFS(Table3!$H:$H,Table3!$A:$A,$B18)*$D18^4+SUMIFS(Table3!$I:$I,Table3!$A:$A,$B18)*$D18^3+SUMIFS(Table3!$J:$J,Table3!$A:$A,$B18)*$D18^2+SUMIFS(Table3!$K:$K,Table3!$A:$A,$B18)*$D18)+SUMIFS(Table3!$L:$L,Table3!$A:$A,$B18)*LOG10($D18)+SUMIFS(Table3!$M:$M,Table3!$A:$A,$B18)*LOG10($F18)+SUMIFS(Table3!$N:$N,Table3!$A:$A,$B18)*LOG10(J18)+LOG10(1/$AD18))</f>
        <v>43.344953967060327</v>
      </c>
      <c r="AG18" s="39">
        <f>(12.552/50)*Q18*10^(SUMIFS(Table4!$B:$B,Table4!$A:$A,$B18)+SUMIFS(Table4!$C:$C,Table4!$A:$A,$B18)*LOG10($E18)+SUMIFS(Table4!$D:$D,Table4!$A:$A,$B18)*K18/(SUMIFS(Table4!$E:$E,Table4!$A:$A,$B18)*$D18^7+SUMIFS(Table4!$F:$F,Table4!$A:$A,$B18)*$D18^6+SUMIFS(Table4!$G:$G,Table4!$A:$A,$B18)*$D18^5+SUMIFS(Table4!$H:$H,Table4!$A:$A,$B18)*$D18^4+SUMIFS(Table4!$I:$I,Table4!$A:$A,$B18)*$D18^3+SUMIFS(Table4!$J:$J,Table4!$A:$A,$B18)*$D18^2+SUMIFS(Table4!$K:$K,Table4!$A:$A,$B18)*$D18)+SUMIFS(Table4!$L:$L,Table4!$A:$A,$B18)*LOG10($D18)+SUMIFS(Table4!$M:$M,Table4!$A:$A,$B18)*LOG10($F18)+SUMIFS(Table4!$N:$N,Table4!$A:$A,$B18)*LOG10(K18)+LOG10(1/$AD18))</f>
        <v>70.932843271148059</v>
      </c>
      <c r="AH18" s="39">
        <f>(12.552/50)*Q18*10^(SUMIFS(Table5!$B:$B,Table5!$A:$A,$B18)+SUMIFS(Table5!$C:$C,Table5!$A:$A,$B18)*LOG10($E18)+SUMIFS(Table5!$D:$D,Table5!$A:$A,$B18)*L18/(SUMIFS(Table5!$E:$E,Table5!$A:$A,$B18)*$D18^7+SUMIFS(Table5!$F:$F,Table5!$A:$A,$B18)*$D18^6+SUMIFS(Table5!$G:$G,Table5!$A:$A,$B18)*$D18^5+SUMIFS(Table5!$H:$H,Table5!$A:$A,$B18)*$D18^4+SUMIFS(Table5!$I:$I,Table5!$A:$A,$B18)*$D18^3+SUMIFS(Table5!$J:$J,Table5!$A:$A,$B18)*$D18^2+SUMIFS(Table5!$K:$K,Table5!$A:$A,$B18)*$D18)+SUMIFS(Table5!$L:$L,Table5!$A:$A,$B18)*LOG10($D18)+SUMIFS(Table5!$M:$M,Table5!$A:$A,$B18)*LOG10($F18)+SUMIFS(Table5!$N:$N,Table5!$A:$A,$B18)*LOG10(L18)+LOG10(1/$AD18))</f>
        <v>85.036205064522221</v>
      </c>
      <c r="AI18" s="39">
        <f t="shared" si="28"/>
        <v>41.76850314968388</v>
      </c>
      <c r="AJ18" s="39">
        <f t="shared" si="29"/>
        <v>68.233751617588524</v>
      </c>
      <c r="AK18" s="39">
        <f t="shared" si="30"/>
        <v>40.256203237232192</v>
      </c>
      <c r="AL18" s="40">
        <f t="shared" si="31"/>
        <v>39.962615157572138</v>
      </c>
      <c r="AM18" s="42">
        <f>10^((SUMIFS(Table3!$B:$B,Table3!$A:$A,$B18)+SUMIFS(Table3!$C:$C,Table3!$A:$A,$B18)*LOG10($E18)+(SUMIFS(Table3!$D:$D,Table3!$A:$A,$B18)*$J18)/(SUMIFS(Table3!$E:$E,Table3!$A:$A,$B18)*$D18^7+SUMIFS(Table3!$F:$F,Table3!$A:$A,$B18)*$D18^6+SUMIFS(Table3!$G:$G,Table3!$A:$A,$B18)*$D18^5+SUMIFS(Table3!$H:$H,Table3!$A:$A,$B18)*$D18^4+SUMIFS(Table3!$I:$I,Table3!$A:$A,$B18)*$D18^3+SUMIFS(Table3!$J:$J,Table3!$A:$A,$B18)*$D18^2+SUMIFS(Table3!$K:$K,Table3!$A:$A,$B18)*$D18)+SUMIFS(Table3!$L:$L,Table3!$A:$A,$B18)*LOG10($D18)+SUMIFS(Table3!$N:$N,Table3!$A:$A,$B18)*LOG10(P18)+LOG10(1/$AD18)-LOG10(20/Q18))/-SUMIFS(Table3!$M:$M,Table3!$A:$A,$B18))</f>
        <v>1439.148658646312</v>
      </c>
      <c r="AN18" s="42">
        <f>10^((SUMIFS(Table3!$B:$B,Table3!$A:$A,$B18)+SUMIFS(Table3!$C:$C,Table3!$A:$A,$B18)*LOG10($E18)+(SUMIFS(Table3!$D:$D,Table3!$A:$A,$B18)*J18)/(SUMIFS(Table3!$E:$E,Table3!$A:$A,$B18)*$D18^7+SUMIFS(Table3!$F:$F,Table3!$A:$A,$B18)*$D18^6+SUMIFS(Table3!$G:$G,Table3!$A:$A,$B18)*$D18^5+SUMIFS(Table3!$H:$H,Table3!$A:$A,$B18)*$D18^4+SUMIFS(Table3!$I:$I,Table3!$A:$A,$B18)*$D18^3+SUMIFS(Table3!$J:$J,Table3!$A:$A,$B18)*$D18^2+SUMIFS(Table3!$K:$K,Table3!$A:$A,$B18)*$D18)+SUMIFS(Table3!$L:$L,Table3!$A:$A,$B18)*LOG10($D18)+SUMIFS(Table3!$N:$N,Table3!$A:$A,$B18)*LOG10(J18)+LOG10(1/$AD18)-LOG10(20/Q18))/-SUMIFS(Table3!$M:$M,Table3!$A:$A,$B18))</f>
        <v>1505.2571981642686</v>
      </c>
      <c r="AO18" s="42">
        <f>10^((SUMIFS(Table4!$B:$B,Table4!$A:$A,$B18)+SUMIFS(Table4!$C:$C,Table4!$A:$A,$B18)*LOG10($E18)+(SUMIFS(Table4!$D:$D,Table4!$A:$A,$B18)*K18)/(SUMIFS(Table4!$E:$E,Table4!$A:$A,$B18)*$D18^7+SUMIFS(Table4!$F:$F,Table4!$A:$A,$B18)*$D18^6+SUMIFS(Table4!$G:$G,Table4!$A:$A,$B18)*$D18^5+SUMIFS(Table4!$H:$H,Table4!$A:$A,$B18)*$D18^4+SUMIFS(Table4!$I:$I,Table4!$A:$A,$B18)*$D18^3+SUMIFS(Table4!$J:$J,Table4!$A:$A,$B18)*$D18^2+SUMIFS(Table4!$K:$K,Table4!$A:$A,$B18)*$D18)+SUMIFS(Table4!$L:$L,Table4!$A:$A,$B18)*LOG10($D18)+SUMIFS(Table4!$N:$N,Table4!$A:$A,$B18)*LOG10(K18)+LOG10(1/$AD18)-LOG10(20/Q18))/-SUMIFS(Table4!$M:$M,Table4!$A:$A,$B18))</f>
        <v>2090.7865265779606</v>
      </c>
      <c r="AP18" s="42">
        <f>10^((SUMIFS(Table5!$B:$B,Table5!$A:$A,$B18)+SUMIFS(Table5!$C:$C,Table5!$A:$A,$B18)*LOG10($E18)+(SUMIFS(Table5!$D:$D,Table5!$A:$A,$B18)*L18)/(SUMIFS(Table5!$E:$E,Table5!$A:$A,$B18)*$D18^7+SUMIFS(Table5!$F:$F,Table5!$A:$A,$B18)*$D18^6+SUMIFS(Table5!$G:$G,Table5!$A:$A,$B18)*$D18^5+SUMIFS(Table5!$H:$H,Table5!$A:$A,$B18)*$D18^4+SUMIFS(Table5!$I:$I,Table5!$A:$A,$B18)*$D18^3+SUMIFS(Table5!$J:$J,Table5!$A:$A,$B18)*$D18^2+SUMIFS(Table5!$K:$K,Table5!$A:$A,$B18)*$D18)+SUMIFS(Table5!$L:$L,Table5!$A:$A,$B18)*LOG10($D18)+SUMIFS(Table5!$N:$N,Table5!$A:$A,$B18)*LOG10(L18)+LOG10(1/$AD18)-LOG10(20/Q18))/-SUMIFS(Table5!$M:$M,Table5!$A:$A,$B18))</f>
        <v>2470.9371952126071</v>
      </c>
      <c r="AQ18" s="42">
        <f t="shared" si="32"/>
        <v>1471.7983793977719</v>
      </c>
      <c r="AR18" s="42">
        <f t="shared" si="33"/>
        <v>2018.0335537875367</v>
      </c>
      <c r="AS18" s="42">
        <f t="shared" si="34"/>
        <v>1440.5849408612141</v>
      </c>
      <c r="AT18" s="43">
        <f t="shared" si="35"/>
        <v>1439.148658646312</v>
      </c>
      <c r="AU18" s="39">
        <f>SUMIFS(Table2!$B:$B,Table2!$A:$A,$B18)*$C18^6+SUMIFS(Table2!$C:$C,Table2!$A:$A,$B18)*$C18^5+SUMIFS(Table2!$D:$D,Table2!$A:$A,$B18)*$C18^4+SUMIFS(Table2!$E:$E,Table2!$A:$A,$B18)*$C18^3+SUMIFS(Table2!$F:$F,Table2!$A:$A,$B18)*$C18^2+SUMIFS(Table2!$G:$G,Table2!$A:$A,$B18)*$C18+SUMIFS(Table2!$H:$H,Table2!$A:$A,$B18)</f>
        <v>0.23674766277705805</v>
      </c>
      <c r="AV18" s="39">
        <f t="shared" si="36"/>
        <v>0.88162616861147103</v>
      </c>
      <c r="AW18" s="39">
        <f t="shared" si="37"/>
        <v>22.942338968200868</v>
      </c>
      <c r="AX18" s="39">
        <f t="shared" si="38"/>
        <v>23.745069163197648</v>
      </c>
      <c r="AY18" s="39">
        <f t="shared" si="39"/>
        <v>25.899048900941672</v>
      </c>
      <c r="AZ18" s="39">
        <f t="shared" si="40"/>
        <v>22.896468671343911</v>
      </c>
      <c r="BA18" s="39">
        <f t="shared" si="41"/>
        <v>23.332842006491465</v>
      </c>
      <c r="BB18" s="39">
        <f t="shared" si="42"/>
        <v>22.871533052192625</v>
      </c>
      <c r="BC18" s="40">
        <f t="shared" si="43"/>
        <v>21.428251236908565</v>
      </c>
      <c r="BD18" s="41">
        <v>125</v>
      </c>
      <c r="BE18" s="39">
        <f>(12.552/50)*BD18*10^(SUMIFS(Table3!$B:$B,Table3!$A:$A,$B18)+SUMIFS(Table3!$C:$C,Table3!$A:$A,$B18)*LOG10($E18)+SUMIFS(Table3!$D:$D,Table3!$A:$A,$B18)*$J18/(SUMIFS(Table3!$E:$E,Table3!$A:$A,$B18)*$D18^7+SUMIFS(Table3!$F:$F,Table3!$A:$A,$B18)*$D18^6+SUMIFS(Table3!$G:$G,Table3!$A:$A,$B18)*$D18^5+SUMIFS(Table3!$H:$H,Table3!$A:$A,$B18)*$D18^4+SUMIFS(Table3!$I:$I,Table3!$A:$A,$B18)*$D18^3+SUMIFS(Table3!$J:$J,Table3!$A:$A,$B18)*$D18^2+SUMIFS(Table3!$K:$K,Table3!$A:$A,$B18)*$D18)+SUMIFS(Table3!$L:$L,Table3!$A:$A,$B18)*LOG10($D18)+SUMIFS(Table3!$M:$M,Table3!$A:$A,$B18)*LOG10($F18)+SUMIFS(Table3!$N:$N,Table3!$A:$A,$B18)*LOG10(BC18)+LOG10(1/$AD18))</f>
        <v>34.398731134713067</v>
      </c>
      <c r="BF18" s="39">
        <f>(12.552/50)*BD18*10^(SUMIFS(Table3!$B:$B,Table3!$A:$A,$B18)+SUMIFS(Table3!$C:$C,Table3!$A:$A,$B18)*LOG10($E18)+SUMIFS(Table3!$D:$D,Table3!$A:$A,$B18)*AW18/(SUMIFS(Table3!$E:$E,Table3!$A:$A,$B18)*$D18^7+SUMIFS(Table3!$F:$F,Table3!$A:$A,$B18)*$D18^6+SUMIFS(Table3!$G:$G,Table3!$A:$A,$B18)*$D18^5+SUMIFS(Table3!$H:$H,Table3!$A:$A,$B18)*$D18^4+SUMIFS(Table3!$I:$I,Table3!$A:$A,$B18)*$D18^3+SUMIFS(Table3!$J:$J,Table3!$A:$A,$B18)*$D18^2+SUMIFS(Table3!$K:$K,Table3!$A:$A,$B18)*$D18)+SUMIFS(Table3!$L:$L,Table3!$A:$A,$B18)*LOG10($D18)+SUMIFS(Table3!$M:$M,Table3!$A:$A,$B18)*LOG10($F18)+SUMIFS(Table3!$N:$N,Table3!$A:$A,$B18)*LOG10(AW18)+LOG10(1/$AD18))</f>
        <v>38.080168370885325</v>
      </c>
      <c r="BG18" s="39">
        <f>(12.552/50)*BD18*10^(SUMIFS(Table4!$B:$B,Table4!$A:$A,$B18)+SUMIFS(Table4!$C:$C,Table4!$A:$A,$B18)*LOG10($E18)+SUMIFS(Table4!$D:$D,Table4!$A:$A,$B18)*AX18/(SUMIFS(Table4!$E:$E,Table4!$A:$A,$B18)*$D18^7+SUMIFS(Table4!$F:$F,Table4!$A:$A,$B18)*$D18^6+SUMIFS(Table4!$G:$G,Table4!$A:$A,$B18)*$D18^5+SUMIFS(Table4!$H:$H,Table4!$A:$A,$B18)*$D18^4+SUMIFS(Table4!$I:$I,Table4!$A:$A,$B18)*$D18^3+SUMIFS(Table4!$J:$J,Table4!$A:$A,$B18)*$D18^2+SUMIFS(Table4!$K:$K,Table4!$A:$A,$B18)*$D18)+SUMIFS(Table4!$L:$L,Table4!$A:$A,$B18)*LOG10($D18)+SUMIFS(Table4!$M:$M,Table4!$A:$A,$B18)*LOG10($F18)+SUMIFS(Table4!$N:$N,Table4!$A:$A,$B18)*LOG10(AX18)+LOG10(1/$AD18))</f>
        <v>74.831791965780539</v>
      </c>
      <c r="BH18" s="39">
        <f>(12.552/50)*BD18*10^(SUMIFS(Table5!$B:$B,Table5!$A:$A,$B18)+SUMIFS(Table5!$C:$C,Table5!$A:$A,$B18)*LOG10($E18)+SUMIFS(Table5!$D:$D,Table5!$A:$A,$B18)*AY18/(SUMIFS(Table5!$E:$E,Table5!$A:$A,$B18)*$D18^7+SUMIFS(Table5!$F:$F,Table5!$A:$A,$B18)*$D18^6+SUMIFS(Table5!$G:$G,Table5!$A:$A,$B18)*$D18^5+SUMIFS(Table5!$H:$H,Table5!$A:$A,$B18)*$D18^4+SUMIFS(Table5!$I:$I,Table5!$A:$A,$B18)*$D18^3+SUMIFS(Table5!$J:$J,Table5!$A:$A,$B18)*$D18^2+SUMIFS(Table5!$K:$K,Table5!$A:$A,$B18)*$D18)+SUMIFS(Table5!$L:$L,Table5!$A:$A,$B18)*LOG10($D18)+SUMIFS(Table5!$M:$M,Table5!$A:$A,$B18)*LOG10($F18)+SUMIFS(Table5!$N:$N,Table5!$A:$A,$B18)*LOG10(AY18)+LOG10(1/$AD18))</f>
        <v>87.793012252516135</v>
      </c>
      <c r="BI18" s="39">
        <f t="shared" si="44"/>
        <v>35.980075594034162</v>
      </c>
      <c r="BJ18" s="39">
        <f t="shared" si="45"/>
        <v>72.351282566077685</v>
      </c>
      <c r="BK18" s="39">
        <f t="shared" si="46"/>
        <v>33.901720909917387</v>
      </c>
      <c r="BL18" s="40">
        <f t="shared" si="47"/>
        <v>34.398731134713067</v>
      </c>
      <c r="BM18" s="42">
        <f>10^((SUMIFS(Table3!$B:$B,Table3!$A:$A,$B18)+SUMIFS(Table3!$C:$C,Table3!$A:$A,$B18)*LOG10($E18)+(SUMIFS(Table3!$D:$D,Table3!$A:$A,$B18)*$J18)/(SUMIFS(Table3!$E:$E,Table3!$A:$A,$B18)*$D18^7+SUMIFS(Table3!$F:$F,Table3!$A:$A,$B18)*$D18^6+SUMIFS(Table3!$G:$G,Table3!$A:$A,$B18)*$D18^5+SUMIFS(Table3!$H:$H,Table3!$A:$A,$B18)*$D18^4+SUMIFS(Table3!$I:$I,Table3!$A:$A,$B18)*$D18^3+SUMIFS(Table3!$J:$J,Table3!$A:$A,$B18)*$D18^2+SUMIFS(Table3!$K:$K,Table3!$A:$A,$B18)*$D18)+SUMIFS(Table3!$L:$L,Table3!$A:$A,$B18)*LOG10($D18)+SUMIFS(Table3!$N:$N,Table3!$A:$A,$B18)*LOG10(BC18)+LOG10(1/$AD18)-LOG10(20/BD18))/-SUMIFS(Table3!$M:$M,Table3!$A:$A,$B18))</f>
        <v>1324.6848805262059</v>
      </c>
      <c r="BN18" s="42">
        <f>10^((SUMIFS(Table3!$B:$B,Table3!$A:$A,$B18)+SUMIFS(Table3!$C:$C,Table3!$A:$A,$B18)*LOG10($E18)+(SUMIFS(Table3!$D:$D,Table3!$A:$A,$B18)*AW18)/(SUMIFS(Table3!$E:$E,Table3!$A:$A,$B18)*$D18^7+SUMIFS(Table3!$F:$F,Table3!$A:$A,$B18)*$D18^6+SUMIFS(Table3!$G:$G,Table3!$A:$A,$B18)*$D18^5+SUMIFS(Table3!$H:$H,Table3!$A:$A,$B18)*$D18^4+SUMIFS(Table3!$I:$I,Table3!$A:$A,$B18)*$D18^3+SUMIFS(Table3!$J:$J,Table3!$A:$A,$B18)*$D18^2+SUMIFS(Table3!$K:$K,Table3!$A:$A,$B18)*$D18)+SUMIFS(Table3!$L:$L,Table3!$A:$A,$B18)*LOG10($D18)+SUMIFS(Table3!$N:$N,Table3!$A:$A,$B18)*LOG10(AW18)+LOG10(1/$AD18)-LOG10(20/BD18))/-SUMIFS(Table3!$M:$M,Table3!$A:$A,$B18))</f>
        <v>1401.2702017249483</v>
      </c>
      <c r="BO18" s="42">
        <f>10^((SUMIFS(Table4!$B:$B,Table4!$A:$A,$B18)+SUMIFS(Table4!$C:$C,Table4!$A:$A,$B18)*LOG10($E18)+(SUMIFS(Table4!$D:$D,Table4!$A:$A,$B18)*AX18)/(SUMIFS(Table4!$E:$E,Table4!$A:$A,$B18)*$D18^7+SUMIFS(Table4!$F:$F,Table4!$A:$A,$B18)*$D18^6+SUMIFS(Table4!$G:$G,Table4!$A:$A,$B18)*$D18^5+SUMIFS(Table4!$H:$H,Table4!$A:$A,$B18)*$D18^4+SUMIFS(Table4!$I:$I,Table4!$A:$A,$B18)*$D18^3+SUMIFS(Table4!$J:$J,Table4!$A:$A,$B18)*$D18^2+SUMIFS(Table4!$K:$K,Table4!$A:$A,$B18)*$D18)+SUMIFS(Table4!$L:$L,Table4!$A:$A,$B18)*LOG10($D18)+SUMIFS(Table4!$N:$N,Table4!$A:$A,$B18)*LOG10(AX18)+LOG10(1/$AD18)-LOG10(20/BD18))/-SUMIFS(Table4!$M:$M,Table4!$A:$A,$B18))</f>
        <v>2156.0060635638656</v>
      </c>
      <c r="BP18" s="42">
        <f>10^((SUMIFS(Table5!$B:$B,Table5!$A:$A,$B18)+SUMIFS(Table5!$C:$C,Table5!$A:$A,$B18)*LOG10($E18)+(SUMIFS(Table5!$D:$D,Table5!$A:$A,$B18)*AY18)/(SUMIFS(Table5!$E:$E,Table5!$A:$A,$B18)*$D18^7+SUMIFS(Table5!$F:$F,Table5!$A:$A,$B18)*$D18^6+SUMIFS(Table5!$G:$G,Table5!$A:$A,$B18)*$D18^5+SUMIFS(Table5!$H:$H,Table5!$A:$A,$B18)*$D18^4+SUMIFS(Table5!$I:$I,Table5!$A:$A,$B18)*$D18^3+SUMIFS(Table5!$J:$J,Table5!$A:$A,$B18)*$D18^2+SUMIFS(Table5!$K:$K,Table5!$A:$A,$B18)*$D18)+SUMIFS(Table5!$L:$L,Table5!$A:$A,$B18)*LOG10($D18)+SUMIFS(Table5!$N:$N,Table5!$A:$A,$B18)*LOG10(AY18)+LOG10(1/$AD18)-LOG10(20/BD18))/-SUMIFS(Table5!$M:$M,Table5!$A:$A,$B18))</f>
        <v>2518.3966196200527</v>
      </c>
      <c r="BQ18" s="42">
        <f t="shared" si="48"/>
        <v>1358.1424381912959</v>
      </c>
      <c r="BR18" s="42">
        <f t="shared" si="49"/>
        <v>2086.6520088703537</v>
      </c>
      <c r="BS18" s="42">
        <f t="shared" si="50"/>
        <v>1316.5133198667786</v>
      </c>
      <c r="BT18" s="43">
        <f t="shared" si="51"/>
        <v>1324.6848805262059</v>
      </c>
    </row>
    <row r="19" spans="1:72" x14ac:dyDescent="0.2">
      <c r="A19" s="46" t="s">
        <v>186</v>
      </c>
      <c r="B19" s="76" t="s">
        <v>13</v>
      </c>
      <c r="C19" s="41">
        <v>0.48</v>
      </c>
      <c r="D19" s="41">
        <v>29.939</v>
      </c>
      <c r="E19" s="41">
        <v>25</v>
      </c>
      <c r="F19" s="41">
        <v>457.2</v>
      </c>
      <c r="G19" s="41">
        <v>420</v>
      </c>
      <c r="H19" s="41">
        <v>290</v>
      </c>
      <c r="I19" s="41">
        <v>450</v>
      </c>
      <c r="J19" s="39">
        <f>10^(SUMIFS(Table1!$C:$C,Table1!$B:$B,600,Table1!$A:$A,$B19)+SUMIFS(Table1!$D:$D,Table1!$B:$B,600,Table1!$A:$A,$B19)*LOG10($D19)+SUMIFS(Table1!$E:$E,Table1!$B:$B,600,Table1!$A:$A,$B19)*LOG10($E19))*(SUMIFS(Table1!$F:$F,Table1!$B:$B,600,Table1!$A:$A,$B19)*$D19^6+SUMIFS(Table1!$G:$G,Table1!$B:$B,600,Table1!$A:$A,$B19)*$D19^5+SUMIFS(Table1!$H:$H,Table1!$B:$B,600,Table1!$A:$A,$B19)*$D19^4+SUMIFS(Table1!$I:$I,Table1!$B:$B,600,Table1!$A:$A,$B19)*$D19^3+SUMIFS(Table1!$J:$J,Table1!$B:$B,600,Table1!$A:$A,$B19)*$D19^2+SUMIFS(Table1!$K:$K,Table1!$B:$B,600,Table1!$A:$A,$B19)*$D19+SUMIFS(Table1!$L:$L,Table1!$B:$B,600,Table1!$A:$A,$B19))</f>
        <v>25.775024708927518</v>
      </c>
      <c r="K19" s="39">
        <f>10^(SUMIFS(Table1!$C:$C,Table1!$B:$B,2700,Table1!$A:$A,$B19)+SUMIFS(Table1!$D:$D,Table1!$B:$B,2700,Table1!$A:$A,$B19)*LOG10($D19)+SUMIFS(Table1!$E:$E,Table1!$B:$B,2700,Table1!$A:$A,$B19)*LOG10($E19))*(SUMIFS(Table1!$F:$F,Table1!$B:$B,2700,Table1!$A:$A,$B19)*$D19^6+SUMIFS(Table1!$G:$G,Table1!$B:$B,2700,Table1!$A:$A,$B19)*$D19^5+SUMIFS(Table1!$H:$H,Table1!$B:$B,2700,Table1!$A:$A,$B19)*$D19^4+SUMIFS(Table1!$I:$I,Table1!$B:$B,2700,Table1!$A:$A,$B19)*$D19^3+SUMIFS(Table1!$J:$J,Table1!$B:$B,2700,Table1!$A:$A,$B19)*$D19^2+SUMIFS(Table1!$K:$K,Table1!$B:$B,2700,Table1!$A:$A,$B19)*$D19+SUMIFS(Table1!$L:$L,Table1!$B:$B,2700,Table1!$A:$A,$B19))</f>
        <v>26.660801703564186</v>
      </c>
      <c r="L19" s="39">
        <f>10^(SUMIFS(Table1!$C:$C,Table1!$B:$B,14300,Table1!$A:$A,$B19)+SUMIFS(Table1!$D:$D,Table1!$B:$B,14300,Table1!$A:$A,$B19)*LOG10($D19)+SUMIFS(Table1!$E:$E,Table1!$B:$B,14300,Table1!$A:$A,$B19)*LOG10($E19))*(SUMIFS(Table1!$F:$F,Table1!$B:$B,14300,Table1!$A:$A,$B19)*$D19^6+SUMIFS(Table1!$G:$G,Table1!$B:$B,14300,Table1!$A:$A,$B19)*$D19^5+SUMIFS(Table1!$H:$H,Table1!$B:$B,14300,Table1!$A:$A,$B19)*$D19^4+SUMIFS(Table1!$I:$I,Table1!$B:$B,14300,Table1!$A:$A,$B19)*$D19^3+SUMIFS(Table1!$J:$J,Table1!$B:$B,14300,Table1!$A:$A,$B19)*$D19^2+SUMIFS(Table1!$K:$K,Table1!$B:$B,14300,Table1!$A:$A,$B19)*$D19+SUMIFS(Table1!$L:$L,Table1!$B:$B,14300,Table1!$A:$A,$B19))</f>
        <v>29.074724893307817</v>
      </c>
      <c r="M19" s="39">
        <f t="shared" si="0"/>
        <v>25.724408880662565</v>
      </c>
      <c r="N19" s="39">
        <f t="shared" si="1"/>
        <v>26.198826748285661</v>
      </c>
      <c r="O19" s="39">
        <f t="shared" si="2"/>
        <v>25.697299288226958</v>
      </c>
      <c r="P19" s="40">
        <f t="shared" si="52"/>
        <v>24.081591073447985</v>
      </c>
      <c r="Q19" s="41">
        <v>125</v>
      </c>
      <c r="R19" s="45" t="str">
        <f t="shared" si="3"/>
        <v>Typical</v>
      </c>
      <c r="S19" s="36">
        <f t="shared" si="4"/>
        <v>10</v>
      </c>
      <c r="T19" s="36">
        <f t="shared" si="5"/>
        <v>24</v>
      </c>
      <c r="U19" s="36">
        <f t="shared" si="6"/>
        <v>420</v>
      </c>
      <c r="V19" s="36">
        <f>(660.4+($U19-660.4)*($C19+$S19)/$T19)*(1/25.4)</f>
        <v>21.86713910761155</v>
      </c>
      <c r="W19" s="36">
        <f t="shared" si="7"/>
        <v>290</v>
      </c>
      <c r="X19" s="36">
        <f>(660.4+($W19-660.4)*($C19+$S19)/$T19)*(1/25.4)</f>
        <v>19.632230971128607</v>
      </c>
      <c r="Y19" s="37">
        <f>IF($G19&lt;508,IF($R19="Typical",20,0.03937*$G19),IF($G19&lt;=660.4,0.03937*$G19,IF($G19&lt;=1244.6,$V19,$V19)))</f>
        <v>20</v>
      </c>
      <c r="Z19" s="37">
        <f>IF($H19&lt;508,IF($R19="Typical",20,0.03937*$H19),IF($H19&lt;=660.4,0.03937*$H19,IF($H19&lt;=1244.6,IF($B19="VCB",0.03937*$H19,$X19),IF($B19="VCB",49,$X19))))</f>
        <v>20</v>
      </c>
      <c r="AA19" s="39">
        <f>(Z19+Y19)/2</f>
        <v>20</v>
      </c>
      <c r="AB19" s="38">
        <f>SUMIFS(Table7!C:C,Table7!A:A,"Typical",Table7!B:B,$B19)*$AA19^2+SUMIFS(Table7!D:D,Table7!A:A,"Typical",Table7!B:B,$B19)*$AA19+SUMIFS(Table7!E:E,Table7!A:A,"Typical",Table7!B:B,$B19)</f>
        <v>0.99995999999999996</v>
      </c>
      <c r="AC19" s="38">
        <f>1/(SUMIFS(Table7!C:C,Table7!A:A,"Shallow",Table7!B:B,$B19)*$AA19^2+SUMIFS(Table7!D:D,Table7!A:A,"Shallow",Table7!B:B,$B19)*$AA19+SUMIFS(Table7!E:E,Table7!A:A,"Shallow",Table7!B:B,$B19))</f>
        <v>1.0010010010010011</v>
      </c>
      <c r="AD19" s="39">
        <f>IF(R19="Typical",AB19,AC19)</f>
        <v>0.99995999999999996</v>
      </c>
      <c r="AE19" s="39">
        <f>(12.552/50)*Q19*10^(SUMIFS(Table3!$B:$B,Table3!$A:$A,$B19)+SUMIFS(Table3!$C:$C,Table3!$A:$A,$B19)*LOG10($E19)+SUMIFS(Table3!$D:$D,Table3!$A:$A,$B19)*$J19/(SUMIFS(Table3!$E:$E,Table3!$A:$A,$B19)*$D19^7+SUMIFS(Table3!$F:$F,Table3!$A:$A,$B19)*$D19^6+SUMIFS(Table3!$G:$G,Table3!$A:$A,$B19)*$D19^5+SUMIFS(Table3!$H:$H,Table3!$A:$A,$B19)*$D19^4+SUMIFS(Table3!$I:$I,Table3!$A:$A,$B19)*$D19^3+SUMIFS(Table3!$J:$J,Table3!$A:$A,$B19)*$D19^2+SUMIFS(Table3!$K:$K,Table3!$A:$A,$B19)*$D19)+SUMIFS(Table3!$L:$L,Table3!$A:$A,$B19)*LOG10($D19)+SUMIFS(Table3!$M:$M,Table3!$A:$A,$B19)*LOG10($F19)+SUMIFS(Table3!$N:$N,Table3!$A:$A,$B19)*LOG10(P19)+LOG10(1/$AD19))</f>
        <v>39.548480737696785</v>
      </c>
      <c r="AF19" s="39">
        <f>(12.552/50)*Q19*10^(SUMIFS(Table3!$B:$B,Table3!$A:$A,$B19)+SUMIFS(Table3!$C:$C,Table3!$A:$A,$B19)*LOG10($E19)+SUMIFS(Table3!$D:$D,Table3!$A:$A,$B19)*J19/(SUMIFS(Table3!$E:$E,Table3!$A:$A,$B19)*$D19^7+SUMIFS(Table3!$F:$F,Table3!$A:$A,$B19)*$D19^6+SUMIFS(Table3!$G:$G,Table3!$A:$A,$B19)*$D19^5+SUMIFS(Table3!$H:$H,Table3!$A:$A,$B19)*$D19^4+SUMIFS(Table3!$I:$I,Table3!$A:$A,$B19)*$D19^3+SUMIFS(Table3!$J:$J,Table3!$A:$A,$B19)*$D19^2+SUMIFS(Table3!$K:$K,Table3!$A:$A,$B19)*$D19)+SUMIFS(Table3!$L:$L,Table3!$A:$A,$B19)*LOG10($D19)+SUMIFS(Table3!$M:$M,Table3!$A:$A,$B19)*LOG10($F19)+SUMIFS(Table3!$N:$N,Table3!$A:$A,$B19)*LOG10(J19)+LOG10(1/$AD19))</f>
        <v>42.879662750545336</v>
      </c>
      <c r="AG19" s="39">
        <f>(12.552/50)*Q19*10^(SUMIFS(Table4!$B:$B,Table4!$A:$A,$B19)+SUMIFS(Table4!$C:$C,Table4!$A:$A,$B19)*LOG10($E19)+SUMIFS(Table4!$D:$D,Table4!$A:$A,$B19)*K19/(SUMIFS(Table4!$E:$E,Table4!$A:$A,$B19)*$D19^7+SUMIFS(Table4!$F:$F,Table4!$A:$A,$B19)*$D19^6+SUMIFS(Table4!$G:$G,Table4!$A:$A,$B19)*$D19^5+SUMIFS(Table4!$H:$H,Table4!$A:$A,$B19)*$D19^4+SUMIFS(Table4!$I:$I,Table4!$A:$A,$B19)*$D19^3+SUMIFS(Table4!$J:$J,Table4!$A:$A,$B19)*$D19^2+SUMIFS(Table4!$K:$K,Table4!$A:$A,$B19)*$D19)+SUMIFS(Table4!$L:$L,Table4!$A:$A,$B19)*LOG10($D19)+SUMIFS(Table4!$M:$M,Table4!$A:$A,$B19)*LOG10($F19)+SUMIFS(Table4!$N:$N,Table4!$A:$A,$B19)*LOG10(K19)+LOG10(1/$AD19))</f>
        <v>70.145152375783269</v>
      </c>
      <c r="AH19" s="39">
        <f>(12.552/50)*Q19*10^(SUMIFS(Table5!$B:$B,Table5!$A:$A,$B19)+SUMIFS(Table5!$C:$C,Table5!$A:$A,$B19)*LOG10($E19)+SUMIFS(Table5!$D:$D,Table5!$A:$A,$B19)*L19/(SUMIFS(Table5!$E:$E,Table5!$A:$A,$B19)*$D19^7+SUMIFS(Table5!$F:$F,Table5!$A:$A,$B19)*$D19^6+SUMIFS(Table5!$G:$G,Table5!$A:$A,$B19)*$D19^5+SUMIFS(Table5!$H:$H,Table5!$A:$A,$B19)*$D19^4+SUMIFS(Table5!$I:$I,Table5!$A:$A,$B19)*$D19^3+SUMIFS(Table5!$J:$J,Table5!$A:$A,$B19)*$D19^2+SUMIFS(Table5!$K:$K,Table5!$A:$A,$B19)*$D19)+SUMIFS(Table5!$L:$L,Table5!$A:$A,$B19)*LOG10($D19)+SUMIFS(Table5!$M:$M,Table5!$A:$A,$B19)*LOG10($F19)+SUMIFS(Table5!$N:$N,Table5!$A:$A,$B19)*LOG10(L19)+LOG10(1/$AD19))</f>
        <v>84.122940802013218</v>
      </c>
      <c r="AI19" s="39">
        <f t="shared" si="28"/>
        <v>41.321634771960312</v>
      </c>
      <c r="AJ19" s="39">
        <f t="shared" si="29"/>
        <v>67.470092866625464</v>
      </c>
      <c r="AK19" s="39">
        <f t="shared" si="30"/>
        <v>39.827437166550872</v>
      </c>
      <c r="AL19" s="40">
        <f t="shared" si="31"/>
        <v>39.548480737696785</v>
      </c>
      <c r="AM19" s="42">
        <f>10^((SUMIFS(Table3!$B:$B,Table3!$A:$A,$B19)+SUMIFS(Table3!$C:$C,Table3!$A:$A,$B19)*LOG10($E19)+(SUMIFS(Table3!$D:$D,Table3!$A:$A,$B19)*$J19)/(SUMIFS(Table3!$E:$E,Table3!$A:$A,$B19)*$D19^7+SUMIFS(Table3!$F:$F,Table3!$A:$A,$B19)*$D19^6+SUMIFS(Table3!$G:$G,Table3!$A:$A,$B19)*$D19^5+SUMIFS(Table3!$H:$H,Table3!$A:$A,$B19)*$D19^4+SUMIFS(Table3!$I:$I,Table3!$A:$A,$B19)*$D19^3+SUMIFS(Table3!$J:$J,Table3!$A:$A,$B19)*$D19^2+SUMIFS(Table3!$K:$K,Table3!$A:$A,$B19)*$D19)+SUMIFS(Table3!$L:$L,Table3!$A:$A,$B19)*LOG10($D19)+SUMIFS(Table3!$N:$N,Table3!$A:$A,$B19)*LOG10(P19)+LOG10(1/$AD19)-LOG10(20/Q19))/-SUMIFS(Table3!$M:$M,Table3!$A:$A,$B19))</f>
        <v>1430.8851447769205</v>
      </c>
      <c r="AN19" s="42">
        <f>10^((SUMIFS(Table3!$B:$B,Table3!$A:$A,$B19)+SUMIFS(Table3!$C:$C,Table3!$A:$A,$B19)*LOG10($E19)+(SUMIFS(Table3!$D:$D,Table3!$A:$A,$B19)*J19)/(SUMIFS(Table3!$E:$E,Table3!$A:$A,$B19)*$D19^7+SUMIFS(Table3!$F:$F,Table3!$A:$A,$B19)*$D19^6+SUMIFS(Table3!$G:$G,Table3!$A:$A,$B19)*$D19^5+SUMIFS(Table3!$H:$H,Table3!$A:$A,$B19)*$D19^4+SUMIFS(Table3!$I:$I,Table3!$A:$A,$B19)*$D19^3+SUMIFS(Table3!$J:$J,Table3!$A:$A,$B19)*$D19^2+SUMIFS(Table3!$K:$K,Table3!$A:$A,$B19)*$D19)+SUMIFS(Table3!$L:$L,Table3!$A:$A,$B19)*LOG10($D19)+SUMIFS(Table3!$N:$N,Table3!$A:$A,$B19)*LOG10(J19)+LOG10(1/$AD19)-LOG10(20/Q19))/-SUMIFS(Table3!$M:$M,Table3!$A:$A,$B19))</f>
        <v>1496.3034460934036</v>
      </c>
      <c r="AO19" s="42">
        <f>10^((SUMIFS(Table4!$B:$B,Table4!$A:$A,$B19)+SUMIFS(Table4!$C:$C,Table4!$A:$A,$B19)*LOG10($E19)+(SUMIFS(Table4!$D:$D,Table4!$A:$A,$B19)*K19)/(SUMIFS(Table4!$E:$E,Table4!$A:$A,$B19)*$D19^7+SUMIFS(Table4!$F:$F,Table4!$A:$A,$B19)*$D19^6+SUMIFS(Table4!$G:$G,Table4!$A:$A,$B19)*$D19^5+SUMIFS(Table4!$H:$H,Table4!$A:$A,$B19)*$D19^4+SUMIFS(Table4!$I:$I,Table4!$A:$A,$B19)*$D19^3+SUMIFS(Table4!$J:$J,Table4!$A:$A,$B19)*$D19^2+SUMIFS(Table4!$K:$K,Table4!$A:$A,$B19)*$D19)+SUMIFS(Table4!$L:$L,Table4!$A:$A,$B19)*LOG10($D19)+SUMIFS(Table4!$N:$N,Table4!$A:$A,$B19)*LOG10(K19)+LOG10(1/$AD19)-LOG10(20/Q19))/-SUMIFS(Table4!$M:$M,Table4!$A:$A,$B19))</f>
        <v>2077.4266838521412</v>
      </c>
      <c r="AP19" s="42">
        <f>10^((SUMIFS(Table5!$B:$B,Table5!$A:$A,$B19)+SUMIFS(Table5!$C:$C,Table5!$A:$A,$B19)*LOG10($E19)+(SUMIFS(Table5!$D:$D,Table5!$A:$A,$B19)*L19)/(SUMIFS(Table5!$E:$E,Table5!$A:$A,$B19)*$D19^7+SUMIFS(Table5!$F:$F,Table5!$A:$A,$B19)*$D19^6+SUMIFS(Table5!$G:$G,Table5!$A:$A,$B19)*$D19^5+SUMIFS(Table5!$H:$H,Table5!$A:$A,$B19)*$D19^4+SUMIFS(Table5!$I:$I,Table5!$A:$A,$B19)*$D19^3+SUMIFS(Table5!$J:$J,Table5!$A:$A,$B19)*$D19^2+SUMIFS(Table5!$K:$K,Table5!$A:$A,$B19)*$D19)+SUMIFS(Table5!$L:$L,Table5!$A:$A,$B19)*LOG10($D19)+SUMIFS(Table5!$N:$N,Table5!$A:$A,$B19)*LOG10(L19)+LOG10(1/$AD19)-LOG10(20/Q19))/-SUMIFS(Table5!$M:$M,Table5!$A:$A,$B19))</f>
        <v>2455.0785373062331</v>
      </c>
      <c r="AQ19" s="42">
        <f t="shared" si="32"/>
        <v>1463.0964039357614</v>
      </c>
      <c r="AR19" s="42">
        <f t="shared" si="33"/>
        <v>2005.1519325876511</v>
      </c>
      <c r="AS19" s="42">
        <f t="shared" si="34"/>
        <v>1432.1218022985106</v>
      </c>
      <c r="AT19" s="43">
        <f t="shared" si="35"/>
        <v>1430.8851447769205</v>
      </c>
      <c r="AU19" s="39">
        <f>SUMIFS(Table2!$B:$B,Table2!$A:$A,$B19)*$C19^6+SUMIFS(Table2!$C:$C,Table2!$A:$A,$B19)*$C19^5+SUMIFS(Table2!$D:$D,Table2!$A:$A,$B19)*$C19^4+SUMIFS(Table2!$E:$E,Table2!$A:$A,$B19)*$C19^3+SUMIFS(Table2!$F:$F,Table2!$A:$A,$B19)*$C19^2+SUMIFS(Table2!$G:$G,Table2!$A:$A,$B19)*$C19+SUMIFS(Table2!$H:$H,Table2!$A:$A,$B19)</f>
        <v>0.23674766277705805</v>
      </c>
      <c r="AV19" s="39">
        <f t="shared" si="36"/>
        <v>0.88162616861147103</v>
      </c>
      <c r="AW19" s="39">
        <f t="shared" si="37"/>
        <v>22.723936279997762</v>
      </c>
      <c r="AX19" s="39">
        <f t="shared" si="38"/>
        <v>23.504860458023472</v>
      </c>
      <c r="AY19" s="39">
        <f t="shared" si="39"/>
        <v>25.633038311119531</v>
      </c>
      <c r="AZ19" s="39">
        <f t="shared" si="40"/>
        <v>22.679312041253436</v>
      </c>
      <c r="BA19" s="39">
        <f t="shared" si="41"/>
        <v>23.097571248206812</v>
      </c>
      <c r="BB19" s="39">
        <f t="shared" si="42"/>
        <v>22.655411515141818</v>
      </c>
      <c r="BC19" s="40">
        <f t="shared" si="43"/>
        <v>21.230960872152149</v>
      </c>
      <c r="BD19" s="41">
        <v>125</v>
      </c>
      <c r="BE19" s="39">
        <f>(12.552/50)*BD19*10^(SUMIFS(Table3!$B:$B,Table3!$A:$A,$B19)+SUMIFS(Table3!$C:$C,Table3!$A:$A,$B19)*LOG10($E19)+SUMIFS(Table3!$D:$D,Table3!$A:$A,$B19)*$J19/(SUMIFS(Table3!$E:$E,Table3!$A:$A,$B19)*$D19^7+SUMIFS(Table3!$F:$F,Table3!$A:$A,$B19)*$D19^6+SUMIFS(Table3!$G:$G,Table3!$A:$A,$B19)*$D19^5+SUMIFS(Table3!$H:$H,Table3!$A:$A,$B19)*$D19^4+SUMIFS(Table3!$I:$I,Table3!$A:$A,$B19)*$D19^3+SUMIFS(Table3!$J:$J,Table3!$A:$A,$B19)*$D19^2+SUMIFS(Table3!$K:$K,Table3!$A:$A,$B19)*$D19)+SUMIFS(Table3!$L:$L,Table3!$A:$A,$B19)*LOG10($D19)+SUMIFS(Table3!$M:$M,Table3!$A:$A,$B19)*LOG10($F19)+SUMIFS(Table3!$N:$N,Table3!$A:$A,$B19)*LOG10(BC19)+LOG10(1/$AD19))</f>
        <v>34.042255501005144</v>
      </c>
      <c r="BF19" s="39">
        <f>(12.552/50)*BD19*10^(SUMIFS(Table3!$B:$B,Table3!$A:$A,$B19)+SUMIFS(Table3!$C:$C,Table3!$A:$A,$B19)*LOG10($E19)+SUMIFS(Table3!$D:$D,Table3!$A:$A,$B19)*AW19/(SUMIFS(Table3!$E:$E,Table3!$A:$A,$B19)*$D19^7+SUMIFS(Table3!$F:$F,Table3!$A:$A,$B19)*$D19^6+SUMIFS(Table3!$G:$G,Table3!$A:$A,$B19)*$D19^5+SUMIFS(Table3!$H:$H,Table3!$A:$A,$B19)*$D19^4+SUMIFS(Table3!$I:$I,Table3!$A:$A,$B19)*$D19^3+SUMIFS(Table3!$J:$J,Table3!$A:$A,$B19)*$D19^2+SUMIFS(Table3!$K:$K,Table3!$A:$A,$B19)*$D19)+SUMIFS(Table3!$L:$L,Table3!$A:$A,$B19)*LOG10($D19)+SUMIFS(Table3!$M:$M,Table3!$A:$A,$B19)*LOG10($F19)+SUMIFS(Table3!$N:$N,Table3!$A:$A,$B19)*LOG10(AW19)+LOG10(1/$AD19))</f>
        <v>37.671553177216978</v>
      </c>
      <c r="BG19" s="39">
        <f>(12.552/50)*BD19*10^(SUMIFS(Table4!$B:$B,Table4!$A:$A,$B19)+SUMIFS(Table4!$C:$C,Table4!$A:$A,$B19)*LOG10($E19)+SUMIFS(Table4!$D:$D,Table4!$A:$A,$B19)*AX19/(SUMIFS(Table4!$E:$E,Table4!$A:$A,$B19)*$D19^7+SUMIFS(Table4!$F:$F,Table4!$A:$A,$B19)*$D19^6+SUMIFS(Table4!$G:$G,Table4!$A:$A,$B19)*$D19^5+SUMIFS(Table4!$H:$H,Table4!$A:$A,$B19)*$D19^4+SUMIFS(Table4!$I:$I,Table4!$A:$A,$B19)*$D19^3+SUMIFS(Table4!$J:$J,Table4!$A:$A,$B19)*$D19^2+SUMIFS(Table4!$K:$K,Table4!$A:$A,$B19)*$D19)+SUMIFS(Table4!$L:$L,Table4!$A:$A,$B19)*LOG10($D19)+SUMIFS(Table4!$M:$M,Table4!$A:$A,$B19)*LOG10($F19)+SUMIFS(Table4!$N:$N,Table4!$A:$A,$B19)*LOG10(AX19)+LOG10(1/$AD19))</f>
        <v>74.001540974202314</v>
      </c>
      <c r="BH19" s="39">
        <f>(12.552/50)*BD19*10^(SUMIFS(Table5!$B:$B,Table5!$A:$A,$B19)+SUMIFS(Table5!$C:$C,Table5!$A:$A,$B19)*LOG10($E19)+SUMIFS(Table5!$D:$D,Table5!$A:$A,$B19)*AY19/(SUMIFS(Table5!$E:$E,Table5!$A:$A,$B19)*$D19^7+SUMIFS(Table5!$F:$F,Table5!$A:$A,$B19)*$D19^6+SUMIFS(Table5!$G:$G,Table5!$A:$A,$B19)*$D19^5+SUMIFS(Table5!$H:$H,Table5!$A:$A,$B19)*$D19^4+SUMIFS(Table5!$I:$I,Table5!$A:$A,$B19)*$D19^3+SUMIFS(Table5!$J:$J,Table5!$A:$A,$B19)*$D19^2+SUMIFS(Table5!$K:$K,Table5!$A:$A,$B19)*$D19)+SUMIFS(Table5!$L:$L,Table5!$A:$A,$B19)*LOG10($D19)+SUMIFS(Table5!$M:$M,Table5!$A:$A,$B19)*LOG10($F19)+SUMIFS(Table5!$N:$N,Table5!$A:$A,$B19)*LOG10(AY19)+LOG10(1/$AD19))</f>
        <v>86.84864154928411</v>
      </c>
      <c r="BI19" s="39">
        <f t="shared" si="44"/>
        <v>35.595553874532101</v>
      </c>
      <c r="BJ19" s="39">
        <f t="shared" si="45"/>
        <v>71.542871726212525</v>
      </c>
      <c r="BK19" s="39">
        <f t="shared" si="46"/>
        <v>33.541421425864648</v>
      </c>
      <c r="BL19" s="40">
        <f t="shared" si="47"/>
        <v>34.042255501005144</v>
      </c>
      <c r="BM19" s="42">
        <f>10^((SUMIFS(Table3!$B:$B,Table3!$A:$A,$B19)+SUMIFS(Table3!$C:$C,Table3!$A:$A,$B19)*LOG10($E19)+(SUMIFS(Table3!$D:$D,Table3!$A:$A,$B19)*$J19)/(SUMIFS(Table3!$E:$E,Table3!$A:$A,$B19)*$D19^7+SUMIFS(Table3!$F:$F,Table3!$A:$A,$B19)*$D19^6+SUMIFS(Table3!$G:$G,Table3!$A:$A,$B19)*$D19^5+SUMIFS(Table3!$H:$H,Table3!$A:$A,$B19)*$D19^4+SUMIFS(Table3!$I:$I,Table3!$A:$A,$B19)*$D19^3+SUMIFS(Table3!$J:$J,Table3!$A:$A,$B19)*$D19^2+SUMIFS(Table3!$K:$K,Table3!$A:$A,$B19)*$D19)+SUMIFS(Table3!$L:$L,Table3!$A:$A,$B19)*LOG10($D19)+SUMIFS(Table3!$N:$N,Table3!$A:$A,$B19)*LOG10(BC19)+LOG10(1/$AD19)-LOG10(20/BD19))/-SUMIFS(Table3!$M:$M,Table3!$A:$A,$B19))</f>
        <v>1317.0786114885793</v>
      </c>
      <c r="BN19" s="42">
        <f>10^((SUMIFS(Table3!$B:$B,Table3!$A:$A,$B19)+SUMIFS(Table3!$C:$C,Table3!$A:$A,$B19)*LOG10($E19)+(SUMIFS(Table3!$D:$D,Table3!$A:$A,$B19)*AW19)/(SUMIFS(Table3!$E:$E,Table3!$A:$A,$B19)*$D19^7+SUMIFS(Table3!$F:$F,Table3!$A:$A,$B19)*$D19^6+SUMIFS(Table3!$G:$G,Table3!$A:$A,$B19)*$D19^5+SUMIFS(Table3!$H:$H,Table3!$A:$A,$B19)*$D19^4+SUMIFS(Table3!$I:$I,Table3!$A:$A,$B19)*$D19^3+SUMIFS(Table3!$J:$J,Table3!$A:$A,$B19)*$D19^2+SUMIFS(Table3!$K:$K,Table3!$A:$A,$B19)*$D19)+SUMIFS(Table3!$L:$L,Table3!$A:$A,$B19)*LOG10($D19)+SUMIFS(Table3!$N:$N,Table3!$A:$A,$B19)*LOG10(AW19)+LOG10(1/$AD19)-LOG10(20/BD19))/-SUMIFS(Table3!$M:$M,Table3!$A:$A,$B19))</f>
        <v>1392.9382802392561</v>
      </c>
      <c r="BO19" s="42">
        <f>10^((SUMIFS(Table4!$B:$B,Table4!$A:$A,$B19)+SUMIFS(Table4!$C:$C,Table4!$A:$A,$B19)*LOG10($E19)+(SUMIFS(Table4!$D:$D,Table4!$A:$A,$B19)*AX19)/(SUMIFS(Table4!$E:$E,Table4!$A:$A,$B19)*$D19^7+SUMIFS(Table4!$F:$F,Table4!$A:$A,$B19)*$D19^6+SUMIFS(Table4!$G:$G,Table4!$A:$A,$B19)*$D19^5+SUMIFS(Table4!$H:$H,Table4!$A:$A,$B19)*$D19^4+SUMIFS(Table4!$I:$I,Table4!$A:$A,$B19)*$D19^3+SUMIFS(Table4!$J:$J,Table4!$A:$A,$B19)*$D19^2+SUMIFS(Table4!$K:$K,Table4!$A:$A,$B19)*$D19)+SUMIFS(Table4!$L:$L,Table4!$A:$A,$B19)*LOG10($D19)+SUMIFS(Table4!$N:$N,Table4!$A:$A,$B19)*LOG10(AX19)+LOG10(1/$AD19)-LOG10(20/BD19))/-SUMIFS(Table4!$M:$M,Table4!$A:$A,$B19))</f>
        <v>2142.241719717405</v>
      </c>
      <c r="BP19" s="42">
        <f>10^((SUMIFS(Table5!$B:$B,Table5!$A:$A,$B19)+SUMIFS(Table5!$C:$C,Table5!$A:$A,$B19)*LOG10($E19)+(SUMIFS(Table5!$D:$D,Table5!$A:$A,$B19)*AY19)/(SUMIFS(Table5!$E:$E,Table5!$A:$A,$B19)*$D19^7+SUMIFS(Table5!$F:$F,Table5!$A:$A,$B19)*$D19^6+SUMIFS(Table5!$G:$G,Table5!$A:$A,$B19)*$D19^5+SUMIFS(Table5!$H:$H,Table5!$A:$A,$B19)*$D19^4+SUMIFS(Table5!$I:$I,Table5!$A:$A,$B19)*$D19^3+SUMIFS(Table5!$J:$J,Table5!$A:$A,$B19)*$D19^2+SUMIFS(Table5!$K:$K,Table5!$A:$A,$B19)*$D19)+SUMIFS(Table5!$L:$L,Table5!$A:$A,$B19)*LOG10($D19)+SUMIFS(Table5!$N:$N,Table5!$A:$A,$B19)*LOG10(AY19)+LOG10(1/$AD19)-LOG10(20/BD19))/-SUMIFS(Table5!$M:$M,Table5!$A:$A,$B19))</f>
        <v>2502.20760843481</v>
      </c>
      <c r="BQ19" s="42">
        <f t="shared" si="48"/>
        <v>1350.1209408405048</v>
      </c>
      <c r="BR19" s="42">
        <f t="shared" si="49"/>
        <v>2073.351696187005</v>
      </c>
      <c r="BS19" s="42">
        <f t="shared" si="50"/>
        <v>1308.793469106419</v>
      </c>
      <c r="BT19" s="43">
        <f t="shared" si="51"/>
        <v>1317.0786114885793</v>
      </c>
    </row>
    <row r="20" spans="1:72" x14ac:dyDescent="0.2">
      <c r="A20" s="46" t="s">
        <v>187</v>
      </c>
      <c r="B20" s="76" t="s">
        <v>13</v>
      </c>
      <c r="C20" s="41">
        <v>0.48</v>
      </c>
      <c r="D20" s="41">
        <v>30.376999999999999</v>
      </c>
      <c r="E20" s="41">
        <v>25</v>
      </c>
      <c r="F20" s="41">
        <v>457.2</v>
      </c>
      <c r="G20" s="41">
        <v>420</v>
      </c>
      <c r="H20" s="41">
        <v>290</v>
      </c>
      <c r="I20" s="41">
        <v>450</v>
      </c>
      <c r="J20" s="39">
        <f>10^(SUMIFS(Table1!$C:$C,Table1!$B:$B,600,Table1!$A:$A,$B20)+SUMIFS(Table1!$D:$D,Table1!$B:$B,600,Table1!$A:$A,$B20)*LOG10($D20)+SUMIFS(Table1!$E:$E,Table1!$B:$B,600,Table1!$A:$A,$B20)*LOG10($E20))*(SUMIFS(Table1!$F:$F,Table1!$B:$B,600,Table1!$A:$A,$B20)*$D20^6+SUMIFS(Table1!$G:$G,Table1!$B:$B,600,Table1!$A:$A,$B20)*$D20^5+SUMIFS(Table1!$H:$H,Table1!$B:$B,600,Table1!$A:$A,$B20)*$D20^4+SUMIFS(Table1!$I:$I,Table1!$B:$B,600,Table1!$A:$A,$B20)*$D20^3+SUMIFS(Table1!$J:$J,Table1!$B:$B,600,Table1!$A:$A,$B20)*$D20^2+SUMIFS(Table1!$K:$K,Table1!$B:$B,600,Table1!$A:$A,$B20)*$D20+SUMIFS(Table1!$L:$L,Table1!$B:$B,600,Table1!$A:$A,$B20))</f>
        <v>26.120288834005734</v>
      </c>
      <c r="K20" s="39">
        <f>10^(SUMIFS(Table1!$C:$C,Table1!$B:$B,2700,Table1!$A:$A,$B20)+SUMIFS(Table1!$D:$D,Table1!$B:$B,2700,Table1!$A:$A,$B20)*LOG10($D20)+SUMIFS(Table1!$E:$E,Table1!$B:$B,2700,Table1!$A:$A,$B20)*LOG10($E20))*(SUMIFS(Table1!$F:$F,Table1!$B:$B,2700,Table1!$A:$A,$B20)*$D20^6+SUMIFS(Table1!$G:$G,Table1!$B:$B,2700,Table1!$A:$A,$B20)*$D20^5+SUMIFS(Table1!$H:$H,Table1!$B:$B,2700,Table1!$A:$A,$B20)*$D20^4+SUMIFS(Table1!$I:$I,Table1!$B:$B,2700,Table1!$A:$A,$B20)*$D20^3+SUMIFS(Table1!$J:$J,Table1!$B:$B,2700,Table1!$A:$A,$B20)*$D20^2+SUMIFS(Table1!$K:$K,Table1!$B:$B,2700,Table1!$A:$A,$B20)*$D20+SUMIFS(Table1!$L:$L,Table1!$B:$B,2700,Table1!$A:$A,$B20))</f>
        <v>27.040813809285776</v>
      </c>
      <c r="L20" s="39">
        <f>10^(SUMIFS(Table1!$C:$C,Table1!$B:$B,14300,Table1!$A:$A,$B20)+SUMIFS(Table1!$D:$D,Table1!$B:$B,14300,Table1!$A:$A,$B20)*LOG10($D20)+SUMIFS(Table1!$E:$E,Table1!$B:$B,14300,Table1!$A:$A,$B20)*LOG10($E20))*(SUMIFS(Table1!$F:$F,Table1!$B:$B,14300,Table1!$A:$A,$B20)*$D20^6+SUMIFS(Table1!$G:$G,Table1!$B:$B,14300,Table1!$A:$A,$B20)*$D20^5+SUMIFS(Table1!$H:$H,Table1!$B:$B,14300,Table1!$A:$A,$B20)*$D20^4+SUMIFS(Table1!$I:$I,Table1!$B:$B,14300,Table1!$A:$A,$B20)*$D20^3+SUMIFS(Table1!$J:$J,Table1!$B:$B,14300,Table1!$A:$A,$B20)*$D20^2+SUMIFS(Table1!$K:$K,Table1!$B:$B,14300,Table1!$A:$A,$B20)*$D20+SUMIFS(Table1!$L:$L,Table1!$B:$B,14300,Table1!$A:$A,$B20))</f>
        <v>29.495569168420626</v>
      </c>
      <c r="M20" s="39">
        <f t="shared" si="0"/>
        <v>26.067687406846876</v>
      </c>
      <c r="N20" s="39">
        <f t="shared" si="1"/>
        <v>26.571024421589279</v>
      </c>
      <c r="O20" s="39">
        <f t="shared" si="2"/>
        <v>26.038925291718737</v>
      </c>
      <c r="P20" s="40">
        <f t="shared" si="52"/>
        <v>24.393379305671775</v>
      </c>
      <c r="Q20" s="41">
        <v>125</v>
      </c>
      <c r="R20" s="45" t="str">
        <f t="shared" si="3"/>
        <v>Typical</v>
      </c>
      <c r="S20" s="36">
        <f t="shared" si="4"/>
        <v>10</v>
      </c>
      <c r="T20" s="36">
        <f t="shared" si="5"/>
        <v>24</v>
      </c>
      <c r="U20" s="36">
        <f t="shared" si="6"/>
        <v>420</v>
      </c>
      <c r="V20" s="36">
        <f>(660.4+($U20-660.4)*($C20+$S20)/$T20)*(1/25.4)</f>
        <v>21.86713910761155</v>
      </c>
      <c r="W20" s="36">
        <f t="shared" si="7"/>
        <v>290</v>
      </c>
      <c r="X20" s="36">
        <f>(660.4+($W20-660.4)*($C20+$S20)/$T20)*(1/25.4)</f>
        <v>19.632230971128607</v>
      </c>
      <c r="Y20" s="37">
        <f>IF($G20&lt;508,IF($R20="Typical",20,0.03937*$G20),IF($G20&lt;=660.4,0.03937*$G20,IF($G20&lt;=1244.6,$V20,$V20)))</f>
        <v>20</v>
      </c>
      <c r="Z20" s="37">
        <f>IF($H20&lt;508,IF($R20="Typical",20,0.03937*$H20),IF($H20&lt;=660.4,0.03937*$H20,IF($H20&lt;=1244.6,IF($B20="VCB",0.03937*$H20,$X20),IF($B20="VCB",49,$X20))))</f>
        <v>20</v>
      </c>
      <c r="AA20" s="39">
        <f>(Z20+Y20)/2</f>
        <v>20</v>
      </c>
      <c r="AB20" s="38">
        <f>SUMIFS(Table7!C:C,Table7!A:A,"Typical",Table7!B:B,$B20)*$AA20^2+SUMIFS(Table7!D:D,Table7!A:A,"Typical",Table7!B:B,$B20)*$AA20+SUMIFS(Table7!E:E,Table7!A:A,"Typical",Table7!B:B,$B20)</f>
        <v>0.99995999999999996</v>
      </c>
      <c r="AC20" s="38">
        <f>1/(SUMIFS(Table7!C:C,Table7!A:A,"Shallow",Table7!B:B,$B20)*$AA20^2+SUMIFS(Table7!D:D,Table7!A:A,"Shallow",Table7!B:B,$B20)*$AA20+SUMIFS(Table7!E:E,Table7!A:A,"Shallow",Table7!B:B,$B20))</f>
        <v>1.0010010010010011</v>
      </c>
      <c r="AD20" s="39">
        <f>IF(R20="Typical",AB20,AC20)</f>
        <v>0.99995999999999996</v>
      </c>
      <c r="AE20" s="39">
        <f>(12.552/50)*Q20*10^(SUMIFS(Table3!$B:$B,Table3!$A:$A,$B20)+SUMIFS(Table3!$C:$C,Table3!$A:$A,$B20)*LOG10($E20)+SUMIFS(Table3!$D:$D,Table3!$A:$A,$B20)*$J20/(SUMIFS(Table3!$E:$E,Table3!$A:$A,$B20)*$D20^7+SUMIFS(Table3!$F:$F,Table3!$A:$A,$B20)*$D20^6+SUMIFS(Table3!$G:$G,Table3!$A:$A,$B20)*$D20^5+SUMIFS(Table3!$H:$H,Table3!$A:$A,$B20)*$D20^4+SUMIFS(Table3!$I:$I,Table3!$A:$A,$B20)*$D20^3+SUMIFS(Table3!$J:$J,Table3!$A:$A,$B20)*$D20^2+SUMIFS(Table3!$K:$K,Table3!$A:$A,$B20)*$D20)+SUMIFS(Table3!$L:$L,Table3!$A:$A,$B20)*LOG10($D20)+SUMIFS(Table3!$M:$M,Table3!$A:$A,$B20)*LOG10($F20)+SUMIFS(Table3!$N:$N,Table3!$A:$A,$B20)*LOG10(P20)+LOG10(1/$AD20))</f>
        <v>40.125587368780423</v>
      </c>
      <c r="AF20" s="39">
        <f>(12.552/50)*Q20*10^(SUMIFS(Table3!$B:$B,Table3!$A:$A,$B20)+SUMIFS(Table3!$C:$C,Table3!$A:$A,$B20)*LOG10($E20)+SUMIFS(Table3!$D:$D,Table3!$A:$A,$B20)*J20/(SUMIFS(Table3!$E:$E,Table3!$A:$A,$B20)*$D20^7+SUMIFS(Table3!$F:$F,Table3!$A:$A,$B20)*$D20^6+SUMIFS(Table3!$G:$G,Table3!$A:$A,$B20)*$D20^5+SUMIFS(Table3!$H:$H,Table3!$A:$A,$B20)*$D20^4+SUMIFS(Table3!$I:$I,Table3!$A:$A,$B20)*$D20^3+SUMIFS(Table3!$J:$J,Table3!$A:$A,$B20)*$D20^2+SUMIFS(Table3!$K:$K,Table3!$A:$A,$B20)*$D20)+SUMIFS(Table3!$L:$L,Table3!$A:$A,$B20)*LOG10($D20)+SUMIFS(Table3!$M:$M,Table3!$A:$A,$B20)*LOG10($F20)+SUMIFS(Table3!$N:$N,Table3!$A:$A,$B20)*LOG10(J20)+LOG10(1/$AD20))</f>
        <v>43.528284355456108</v>
      </c>
      <c r="AG20" s="39">
        <f>(12.552/50)*Q20*10^(SUMIFS(Table4!$B:$B,Table4!$A:$A,$B20)+SUMIFS(Table4!$C:$C,Table4!$A:$A,$B20)*LOG10($E20)+SUMIFS(Table4!$D:$D,Table4!$A:$A,$B20)*K20/(SUMIFS(Table4!$E:$E,Table4!$A:$A,$B20)*$D20^7+SUMIFS(Table4!$F:$F,Table4!$A:$A,$B20)*$D20^6+SUMIFS(Table4!$G:$G,Table4!$A:$A,$B20)*$D20^5+SUMIFS(Table4!$H:$H,Table4!$A:$A,$B20)*$D20^4+SUMIFS(Table4!$I:$I,Table4!$A:$A,$B20)*$D20^3+SUMIFS(Table4!$J:$J,Table4!$A:$A,$B20)*$D20^2+SUMIFS(Table4!$K:$K,Table4!$A:$A,$B20)*$D20)+SUMIFS(Table4!$L:$L,Table4!$A:$A,$B20)*LOG10($D20)+SUMIFS(Table4!$M:$M,Table4!$A:$A,$B20)*LOG10($F20)+SUMIFS(Table4!$N:$N,Table4!$A:$A,$B20)*LOG10(K20)+LOG10(1/$AD20))</f>
        <v>71.243992666014208</v>
      </c>
      <c r="AH20" s="39">
        <f>(12.552/50)*Q20*10^(SUMIFS(Table5!$B:$B,Table5!$A:$A,$B20)+SUMIFS(Table5!$C:$C,Table5!$A:$A,$B20)*LOG10($E20)+SUMIFS(Table5!$D:$D,Table5!$A:$A,$B20)*L20/(SUMIFS(Table5!$E:$E,Table5!$A:$A,$B20)*$D20^7+SUMIFS(Table5!$F:$F,Table5!$A:$A,$B20)*$D20^6+SUMIFS(Table5!$G:$G,Table5!$A:$A,$B20)*$D20^5+SUMIFS(Table5!$H:$H,Table5!$A:$A,$B20)*$D20^4+SUMIFS(Table5!$I:$I,Table5!$A:$A,$B20)*$D20^3+SUMIFS(Table5!$J:$J,Table5!$A:$A,$B20)*$D20^2+SUMIFS(Table5!$K:$K,Table5!$A:$A,$B20)*$D20)+SUMIFS(Table5!$L:$L,Table5!$A:$A,$B20)*LOG10($D20)+SUMIFS(Table5!$M:$M,Table5!$A:$A,$B20)*LOG10($F20)+SUMIFS(Table5!$N:$N,Table5!$A:$A,$B20)*LOG10(L20)+LOG10(1/$AD20))</f>
        <v>85.396864492106786</v>
      </c>
      <c r="AI20" s="39">
        <f t="shared" si="28"/>
        <v>41.944529594852789</v>
      </c>
      <c r="AJ20" s="39">
        <f t="shared" si="29"/>
        <v>68.535425816537867</v>
      </c>
      <c r="AK20" s="39">
        <f t="shared" si="30"/>
        <v>40.425049810756498</v>
      </c>
      <c r="AL20" s="40">
        <f t="shared" si="31"/>
        <v>40.125587368780423</v>
      </c>
      <c r="AM20" s="42">
        <f>10^((SUMIFS(Table3!$B:$B,Table3!$A:$A,$B20)+SUMIFS(Table3!$C:$C,Table3!$A:$A,$B20)*LOG10($E20)+(SUMIFS(Table3!$D:$D,Table3!$A:$A,$B20)*$J20)/(SUMIFS(Table3!$E:$E,Table3!$A:$A,$B20)*$D20^7+SUMIFS(Table3!$F:$F,Table3!$A:$A,$B20)*$D20^6+SUMIFS(Table3!$G:$G,Table3!$A:$A,$B20)*$D20^5+SUMIFS(Table3!$H:$H,Table3!$A:$A,$B20)*$D20^4+SUMIFS(Table3!$I:$I,Table3!$A:$A,$B20)*$D20^3+SUMIFS(Table3!$J:$J,Table3!$A:$A,$B20)*$D20^2+SUMIFS(Table3!$K:$K,Table3!$A:$A,$B20)*$D20)+SUMIFS(Table3!$L:$L,Table3!$A:$A,$B20)*LOG10($D20)+SUMIFS(Table3!$N:$N,Table3!$A:$A,$B20)*LOG10(P20)+LOG10(1/$AD20)-LOG10(20/Q20))/-SUMIFS(Table3!$M:$M,Table3!$A:$A,$B20))</f>
        <v>1442.3900488759127</v>
      </c>
      <c r="AN20" s="42">
        <f>10^((SUMIFS(Table3!$B:$B,Table3!$A:$A,$B20)+SUMIFS(Table3!$C:$C,Table3!$A:$A,$B20)*LOG10($E20)+(SUMIFS(Table3!$D:$D,Table3!$A:$A,$B20)*J20)/(SUMIFS(Table3!$E:$E,Table3!$A:$A,$B20)*$D20^7+SUMIFS(Table3!$F:$F,Table3!$A:$A,$B20)*$D20^6+SUMIFS(Table3!$G:$G,Table3!$A:$A,$B20)*$D20^5+SUMIFS(Table3!$H:$H,Table3!$A:$A,$B20)*$D20^4+SUMIFS(Table3!$I:$I,Table3!$A:$A,$B20)*$D20^3+SUMIFS(Table3!$J:$J,Table3!$A:$A,$B20)*$D20^2+SUMIFS(Table3!$K:$K,Table3!$A:$A,$B20)*$D20)+SUMIFS(Table3!$L:$L,Table3!$A:$A,$B20)*LOG10($D20)+SUMIFS(Table3!$N:$N,Table3!$A:$A,$B20)*LOG10(J20)+LOG10(1/$AD20)-LOG10(20/Q20))/-SUMIFS(Table3!$M:$M,Table3!$A:$A,$B20))</f>
        <v>1508.7732718429054</v>
      </c>
      <c r="AO20" s="42">
        <f>10^((SUMIFS(Table4!$B:$B,Table4!$A:$A,$B20)+SUMIFS(Table4!$C:$C,Table4!$A:$A,$B20)*LOG10($E20)+(SUMIFS(Table4!$D:$D,Table4!$A:$A,$B20)*K20)/(SUMIFS(Table4!$E:$E,Table4!$A:$A,$B20)*$D20^7+SUMIFS(Table4!$F:$F,Table4!$A:$A,$B20)*$D20^6+SUMIFS(Table4!$G:$G,Table4!$A:$A,$B20)*$D20^5+SUMIFS(Table4!$H:$H,Table4!$A:$A,$B20)*$D20^4+SUMIFS(Table4!$I:$I,Table4!$A:$A,$B20)*$D20^3+SUMIFS(Table4!$J:$J,Table4!$A:$A,$B20)*$D20^2+SUMIFS(Table4!$K:$K,Table4!$A:$A,$B20)*$D20)+SUMIFS(Table4!$L:$L,Table4!$A:$A,$B20)*LOG10($D20)+SUMIFS(Table4!$N:$N,Table4!$A:$A,$B20)*LOG10(K20)+LOG10(1/$AD20)-LOG10(20/Q20))/-SUMIFS(Table4!$M:$M,Table4!$A:$A,$B20))</f>
        <v>2096.046433563085</v>
      </c>
      <c r="AP20" s="42">
        <f>10^((SUMIFS(Table5!$B:$B,Table5!$A:$A,$B20)+SUMIFS(Table5!$C:$C,Table5!$A:$A,$B20)*LOG10($E20)+(SUMIFS(Table5!$D:$D,Table5!$A:$A,$B20)*L20)/(SUMIFS(Table5!$E:$E,Table5!$A:$A,$B20)*$D20^7+SUMIFS(Table5!$F:$F,Table5!$A:$A,$B20)*$D20^6+SUMIFS(Table5!$G:$G,Table5!$A:$A,$B20)*$D20^5+SUMIFS(Table5!$H:$H,Table5!$A:$A,$B20)*$D20^4+SUMIFS(Table5!$I:$I,Table5!$A:$A,$B20)*$D20^3+SUMIFS(Table5!$J:$J,Table5!$A:$A,$B20)*$D20^2+SUMIFS(Table5!$K:$K,Table5!$A:$A,$B20)*$D20)+SUMIFS(Table5!$L:$L,Table5!$A:$A,$B20)*LOG10($D20)+SUMIFS(Table5!$N:$N,Table5!$A:$A,$B20)*LOG10(L20)+LOG10(1/$AD20)-LOG10(20/Q20))/-SUMIFS(Table5!$M:$M,Table5!$A:$A,$B20))</f>
        <v>2477.1810219814261</v>
      </c>
      <c r="AQ20" s="42">
        <f t="shared" si="32"/>
        <v>1475.2148054588952</v>
      </c>
      <c r="AR20" s="42">
        <f t="shared" si="33"/>
        <v>2023.1051588830233</v>
      </c>
      <c r="AS20" s="42">
        <f t="shared" si="34"/>
        <v>1443.9067852632306</v>
      </c>
      <c r="AT20" s="43">
        <f t="shared" si="35"/>
        <v>1442.3900488759127</v>
      </c>
      <c r="AU20" s="39">
        <f>SUMIFS(Table2!$B:$B,Table2!$A:$A,$B20)*$C20^6+SUMIFS(Table2!$C:$C,Table2!$A:$A,$B20)*$C20^5+SUMIFS(Table2!$D:$D,Table2!$A:$A,$B20)*$C20^4+SUMIFS(Table2!$E:$E,Table2!$A:$A,$B20)*$C20^3+SUMIFS(Table2!$F:$F,Table2!$A:$A,$B20)*$C20^2+SUMIFS(Table2!$G:$G,Table2!$A:$A,$B20)*$C20+SUMIFS(Table2!$H:$H,Table2!$A:$A,$B20)</f>
        <v>0.23674766277705805</v>
      </c>
      <c r="AV20" s="39">
        <f t="shared" si="36"/>
        <v>0.88162616861147103</v>
      </c>
      <c r="AW20" s="39">
        <f t="shared" si="37"/>
        <v>23.028330167749463</v>
      </c>
      <c r="AX20" s="39">
        <f t="shared" si="38"/>
        <v>23.839889074816774</v>
      </c>
      <c r="AY20" s="39">
        <f t="shared" si="39"/>
        <v>26.004065636969308</v>
      </c>
      <c r="AZ20" s="39">
        <f t="shared" si="40"/>
        <v>22.9819553730599</v>
      </c>
      <c r="BA20" s="39">
        <f t="shared" si="41"/>
        <v>23.425710456887582</v>
      </c>
      <c r="BB20" s="39">
        <f t="shared" si="42"/>
        <v>22.95659793969832</v>
      </c>
      <c r="BC20" s="40">
        <f t="shared" si="43"/>
        <v>21.505841536745752</v>
      </c>
      <c r="BD20" s="41">
        <v>125</v>
      </c>
      <c r="BE20" s="39">
        <f>(12.552/50)*BD20*10^(SUMIFS(Table3!$B:$B,Table3!$A:$A,$B20)+SUMIFS(Table3!$C:$C,Table3!$A:$A,$B20)*LOG10($E20)+SUMIFS(Table3!$D:$D,Table3!$A:$A,$B20)*$J20/(SUMIFS(Table3!$E:$E,Table3!$A:$A,$B20)*$D20^7+SUMIFS(Table3!$F:$F,Table3!$A:$A,$B20)*$D20^6+SUMIFS(Table3!$G:$G,Table3!$A:$A,$B20)*$D20^5+SUMIFS(Table3!$H:$H,Table3!$A:$A,$B20)*$D20^4+SUMIFS(Table3!$I:$I,Table3!$A:$A,$B20)*$D20^3+SUMIFS(Table3!$J:$J,Table3!$A:$A,$B20)*$D20^2+SUMIFS(Table3!$K:$K,Table3!$A:$A,$B20)*$D20)+SUMIFS(Table3!$L:$L,Table3!$A:$A,$B20)*LOG10($D20)+SUMIFS(Table3!$M:$M,Table3!$A:$A,$B20)*LOG10($F20)+SUMIFS(Table3!$N:$N,Table3!$A:$A,$B20)*LOG10(BC20)+LOG10(1/$AD20))</f>
        <v>34.539013177158978</v>
      </c>
      <c r="BF20" s="39">
        <f>(12.552/50)*BD20*10^(SUMIFS(Table3!$B:$B,Table3!$A:$A,$B20)+SUMIFS(Table3!$C:$C,Table3!$A:$A,$B20)*LOG10($E20)+SUMIFS(Table3!$D:$D,Table3!$A:$A,$B20)*AW20/(SUMIFS(Table3!$E:$E,Table3!$A:$A,$B20)*$D20^7+SUMIFS(Table3!$F:$F,Table3!$A:$A,$B20)*$D20^6+SUMIFS(Table3!$G:$G,Table3!$A:$A,$B20)*$D20^5+SUMIFS(Table3!$H:$H,Table3!$A:$A,$B20)*$D20^4+SUMIFS(Table3!$I:$I,Table3!$A:$A,$B20)*$D20^3+SUMIFS(Table3!$J:$J,Table3!$A:$A,$B20)*$D20^2+SUMIFS(Table3!$K:$K,Table3!$A:$A,$B20)*$D20)+SUMIFS(Table3!$L:$L,Table3!$A:$A,$B20)*LOG10($D20)+SUMIFS(Table3!$M:$M,Table3!$A:$A,$B20)*LOG10($F20)+SUMIFS(Table3!$N:$N,Table3!$A:$A,$B20)*LOG10(AW20)+LOG10(1/$AD20))</f>
        <v>38.241167090588803</v>
      </c>
      <c r="BG20" s="39">
        <f>(12.552/50)*BD20*10^(SUMIFS(Table4!$B:$B,Table4!$A:$A,$B20)+SUMIFS(Table4!$C:$C,Table4!$A:$A,$B20)*LOG10($E20)+SUMIFS(Table4!$D:$D,Table4!$A:$A,$B20)*AX20/(SUMIFS(Table4!$E:$E,Table4!$A:$A,$B20)*$D20^7+SUMIFS(Table4!$F:$F,Table4!$A:$A,$B20)*$D20^6+SUMIFS(Table4!$G:$G,Table4!$A:$A,$B20)*$D20^5+SUMIFS(Table4!$H:$H,Table4!$A:$A,$B20)*$D20^4+SUMIFS(Table4!$I:$I,Table4!$A:$A,$B20)*$D20^3+SUMIFS(Table4!$J:$J,Table4!$A:$A,$B20)*$D20^2+SUMIFS(Table4!$K:$K,Table4!$A:$A,$B20)*$D20)+SUMIFS(Table4!$L:$L,Table4!$A:$A,$B20)*LOG10($D20)+SUMIFS(Table4!$M:$M,Table4!$A:$A,$B20)*LOG10($F20)+SUMIFS(Table4!$N:$N,Table4!$A:$A,$B20)*LOG10(AX20)+LOG10(1/$AD20))</f>
        <v>75.15975089272797</v>
      </c>
      <c r="BH20" s="39">
        <f>(12.552/50)*BD20*10^(SUMIFS(Table5!$B:$B,Table5!$A:$A,$B20)+SUMIFS(Table5!$C:$C,Table5!$A:$A,$B20)*LOG10($E20)+SUMIFS(Table5!$D:$D,Table5!$A:$A,$B20)*AY20/(SUMIFS(Table5!$E:$E,Table5!$A:$A,$B20)*$D20^7+SUMIFS(Table5!$F:$F,Table5!$A:$A,$B20)*$D20^6+SUMIFS(Table5!$G:$G,Table5!$A:$A,$B20)*$D20^5+SUMIFS(Table5!$H:$H,Table5!$A:$A,$B20)*$D20^4+SUMIFS(Table5!$I:$I,Table5!$A:$A,$B20)*$D20^3+SUMIFS(Table5!$J:$J,Table5!$A:$A,$B20)*$D20^2+SUMIFS(Table5!$K:$K,Table5!$A:$A,$B20)*$D20)+SUMIFS(Table5!$L:$L,Table5!$A:$A,$B20)*LOG10($D20)+SUMIFS(Table5!$M:$M,Table5!$A:$A,$B20)*LOG10($F20)+SUMIFS(Table5!$N:$N,Table5!$A:$A,$B20)*LOG10(AY20)+LOG10(1/$AD20))</f>
        <v>88.165960658405567</v>
      </c>
      <c r="BI20" s="39">
        <f t="shared" si="44"/>
        <v>36.131533730466558</v>
      </c>
      <c r="BJ20" s="39">
        <f t="shared" si="45"/>
        <v>72.670631437572425</v>
      </c>
      <c r="BK20" s="39">
        <f t="shared" si="46"/>
        <v>34.043585290060506</v>
      </c>
      <c r="BL20" s="40">
        <f t="shared" si="47"/>
        <v>34.539013177158978</v>
      </c>
      <c r="BM20" s="42">
        <f>10^((SUMIFS(Table3!$B:$B,Table3!$A:$A,$B20)+SUMIFS(Table3!$C:$C,Table3!$A:$A,$B20)*LOG10($E20)+(SUMIFS(Table3!$D:$D,Table3!$A:$A,$B20)*$J20)/(SUMIFS(Table3!$E:$E,Table3!$A:$A,$B20)*$D20^7+SUMIFS(Table3!$F:$F,Table3!$A:$A,$B20)*$D20^6+SUMIFS(Table3!$G:$G,Table3!$A:$A,$B20)*$D20^5+SUMIFS(Table3!$H:$H,Table3!$A:$A,$B20)*$D20^4+SUMIFS(Table3!$I:$I,Table3!$A:$A,$B20)*$D20^3+SUMIFS(Table3!$J:$J,Table3!$A:$A,$B20)*$D20^2+SUMIFS(Table3!$K:$K,Table3!$A:$A,$B20)*$D20)+SUMIFS(Table3!$L:$L,Table3!$A:$A,$B20)*LOG10($D20)+SUMIFS(Table3!$N:$N,Table3!$A:$A,$B20)*LOG10(BC20)+LOG10(1/$AD20)-LOG10(20/BD20))/-SUMIFS(Table3!$M:$M,Table3!$A:$A,$B20))</f>
        <v>1327.6684643298945</v>
      </c>
      <c r="BN20" s="42">
        <f>10^((SUMIFS(Table3!$B:$B,Table3!$A:$A,$B20)+SUMIFS(Table3!$C:$C,Table3!$A:$A,$B20)*LOG10($E20)+(SUMIFS(Table3!$D:$D,Table3!$A:$A,$B20)*AW20)/(SUMIFS(Table3!$E:$E,Table3!$A:$A,$B20)*$D20^7+SUMIFS(Table3!$F:$F,Table3!$A:$A,$B20)*$D20^6+SUMIFS(Table3!$G:$G,Table3!$A:$A,$B20)*$D20^5+SUMIFS(Table3!$H:$H,Table3!$A:$A,$B20)*$D20^4+SUMIFS(Table3!$I:$I,Table3!$A:$A,$B20)*$D20^3+SUMIFS(Table3!$J:$J,Table3!$A:$A,$B20)*$D20^2+SUMIFS(Table3!$K:$K,Table3!$A:$A,$B20)*$D20)+SUMIFS(Table3!$L:$L,Table3!$A:$A,$B20)*LOG10($D20)+SUMIFS(Table3!$N:$N,Table3!$A:$A,$B20)*LOG10(AW20)+LOG10(1/$AD20)-LOG10(20/BD20))/-SUMIFS(Table3!$M:$M,Table3!$A:$A,$B20))</f>
        <v>1404.5420786103452</v>
      </c>
      <c r="BO20" s="42">
        <f>10^((SUMIFS(Table4!$B:$B,Table4!$A:$A,$B20)+SUMIFS(Table4!$C:$C,Table4!$A:$A,$B20)*LOG10($E20)+(SUMIFS(Table4!$D:$D,Table4!$A:$A,$B20)*AX20)/(SUMIFS(Table4!$E:$E,Table4!$A:$A,$B20)*$D20^7+SUMIFS(Table4!$F:$F,Table4!$A:$A,$B20)*$D20^6+SUMIFS(Table4!$G:$G,Table4!$A:$A,$B20)*$D20^5+SUMIFS(Table4!$H:$H,Table4!$A:$A,$B20)*$D20^4+SUMIFS(Table4!$I:$I,Table4!$A:$A,$B20)*$D20^3+SUMIFS(Table4!$J:$J,Table4!$A:$A,$B20)*$D20^2+SUMIFS(Table4!$K:$K,Table4!$A:$A,$B20)*$D20)+SUMIFS(Table4!$L:$L,Table4!$A:$A,$B20)*LOG10($D20)+SUMIFS(Table4!$N:$N,Table4!$A:$A,$B20)*LOG10(AX20)+LOG10(1/$AD20)-LOG10(20/BD20))/-SUMIFS(Table4!$M:$M,Table4!$A:$A,$B20))</f>
        <v>2161.4252043035826</v>
      </c>
      <c r="BP20" s="42">
        <f>10^((SUMIFS(Table5!$B:$B,Table5!$A:$A,$B20)+SUMIFS(Table5!$C:$C,Table5!$A:$A,$B20)*LOG10($E20)+(SUMIFS(Table5!$D:$D,Table5!$A:$A,$B20)*AY20)/(SUMIFS(Table5!$E:$E,Table5!$A:$A,$B20)*$D20^7+SUMIFS(Table5!$F:$F,Table5!$A:$A,$B20)*$D20^6+SUMIFS(Table5!$G:$G,Table5!$A:$A,$B20)*$D20^5+SUMIFS(Table5!$H:$H,Table5!$A:$A,$B20)*$D20^4+SUMIFS(Table5!$I:$I,Table5!$A:$A,$B20)*$D20^3+SUMIFS(Table5!$J:$J,Table5!$A:$A,$B20)*$D20^2+SUMIFS(Table5!$K:$K,Table5!$A:$A,$B20)*$D20)+SUMIFS(Table5!$L:$L,Table5!$A:$A,$B20)*LOG10($D20)+SUMIFS(Table5!$N:$N,Table5!$A:$A,$B20)*LOG10(AY20)+LOG10(1/$AD20)-LOG10(20/BD20))/-SUMIFS(Table5!$M:$M,Table5!$A:$A,$B20))</f>
        <v>2524.7705609053983</v>
      </c>
      <c r="BQ20" s="42">
        <f t="shared" si="48"/>
        <v>1361.2916142850174</v>
      </c>
      <c r="BR20" s="42">
        <f t="shared" si="49"/>
        <v>2091.8884205401318</v>
      </c>
      <c r="BS20" s="42">
        <f t="shared" si="50"/>
        <v>1319.5432253561537</v>
      </c>
      <c r="BT20" s="43">
        <f t="shared" si="51"/>
        <v>1327.6684643298945</v>
      </c>
    </row>
    <row r="21" spans="1:72" x14ac:dyDescent="0.2">
      <c r="A21" s="46" t="s">
        <v>188</v>
      </c>
      <c r="B21" s="76" t="s">
        <v>13</v>
      </c>
      <c r="C21" s="41">
        <v>0.48</v>
      </c>
      <c r="D21" s="41">
        <v>30.376999999999999</v>
      </c>
      <c r="E21" s="41">
        <v>25</v>
      </c>
      <c r="F21" s="41">
        <v>457.2</v>
      </c>
      <c r="G21" s="41">
        <v>420</v>
      </c>
      <c r="H21" s="41">
        <v>290</v>
      </c>
      <c r="I21" s="41">
        <v>450</v>
      </c>
      <c r="J21" s="39">
        <f>10^(SUMIFS(Table1!$C:$C,Table1!$B:$B,600,Table1!$A:$A,$B21)+SUMIFS(Table1!$D:$D,Table1!$B:$B,600,Table1!$A:$A,$B21)*LOG10($D21)+SUMIFS(Table1!$E:$E,Table1!$B:$B,600,Table1!$A:$A,$B21)*LOG10($E21))*(SUMIFS(Table1!$F:$F,Table1!$B:$B,600,Table1!$A:$A,$B21)*$D21^6+SUMIFS(Table1!$G:$G,Table1!$B:$B,600,Table1!$A:$A,$B21)*$D21^5+SUMIFS(Table1!$H:$H,Table1!$B:$B,600,Table1!$A:$A,$B21)*$D21^4+SUMIFS(Table1!$I:$I,Table1!$B:$B,600,Table1!$A:$A,$B21)*$D21^3+SUMIFS(Table1!$J:$J,Table1!$B:$B,600,Table1!$A:$A,$B21)*$D21^2+SUMIFS(Table1!$K:$K,Table1!$B:$B,600,Table1!$A:$A,$B21)*$D21+SUMIFS(Table1!$L:$L,Table1!$B:$B,600,Table1!$A:$A,$B21))</f>
        <v>26.120288834005734</v>
      </c>
      <c r="K21" s="39">
        <f>10^(SUMIFS(Table1!$C:$C,Table1!$B:$B,2700,Table1!$A:$A,$B21)+SUMIFS(Table1!$D:$D,Table1!$B:$B,2700,Table1!$A:$A,$B21)*LOG10($D21)+SUMIFS(Table1!$E:$E,Table1!$B:$B,2700,Table1!$A:$A,$B21)*LOG10($E21))*(SUMIFS(Table1!$F:$F,Table1!$B:$B,2700,Table1!$A:$A,$B21)*$D21^6+SUMIFS(Table1!$G:$G,Table1!$B:$B,2700,Table1!$A:$A,$B21)*$D21^5+SUMIFS(Table1!$H:$H,Table1!$B:$B,2700,Table1!$A:$A,$B21)*$D21^4+SUMIFS(Table1!$I:$I,Table1!$B:$B,2700,Table1!$A:$A,$B21)*$D21^3+SUMIFS(Table1!$J:$J,Table1!$B:$B,2700,Table1!$A:$A,$B21)*$D21^2+SUMIFS(Table1!$K:$K,Table1!$B:$B,2700,Table1!$A:$A,$B21)*$D21+SUMIFS(Table1!$L:$L,Table1!$B:$B,2700,Table1!$A:$A,$B21))</f>
        <v>27.040813809285776</v>
      </c>
      <c r="L21" s="39">
        <f>10^(SUMIFS(Table1!$C:$C,Table1!$B:$B,14300,Table1!$A:$A,$B21)+SUMIFS(Table1!$D:$D,Table1!$B:$B,14300,Table1!$A:$A,$B21)*LOG10($D21)+SUMIFS(Table1!$E:$E,Table1!$B:$B,14300,Table1!$A:$A,$B21)*LOG10($E21))*(SUMIFS(Table1!$F:$F,Table1!$B:$B,14300,Table1!$A:$A,$B21)*$D21^6+SUMIFS(Table1!$G:$G,Table1!$B:$B,14300,Table1!$A:$A,$B21)*$D21^5+SUMIFS(Table1!$H:$H,Table1!$B:$B,14300,Table1!$A:$A,$B21)*$D21^4+SUMIFS(Table1!$I:$I,Table1!$B:$B,14300,Table1!$A:$A,$B21)*$D21^3+SUMIFS(Table1!$J:$J,Table1!$B:$B,14300,Table1!$A:$A,$B21)*$D21^2+SUMIFS(Table1!$K:$K,Table1!$B:$B,14300,Table1!$A:$A,$B21)*$D21+SUMIFS(Table1!$L:$L,Table1!$B:$B,14300,Table1!$A:$A,$B21))</f>
        <v>29.495569168420626</v>
      </c>
      <c r="M21" s="39">
        <f t="shared" si="0"/>
        <v>26.067687406846876</v>
      </c>
      <c r="N21" s="39">
        <f t="shared" si="1"/>
        <v>26.571024421589279</v>
      </c>
      <c r="O21" s="39">
        <f t="shared" si="2"/>
        <v>26.038925291718737</v>
      </c>
      <c r="P21" s="40">
        <f t="shared" si="52"/>
        <v>24.393379305671775</v>
      </c>
      <c r="Q21" s="41">
        <v>125</v>
      </c>
      <c r="R21" s="45" t="str">
        <f t="shared" si="3"/>
        <v>Typical</v>
      </c>
      <c r="S21" s="36">
        <f t="shared" si="4"/>
        <v>10</v>
      </c>
      <c r="T21" s="36">
        <f t="shared" si="5"/>
        <v>24</v>
      </c>
      <c r="U21" s="36">
        <f t="shared" si="6"/>
        <v>420</v>
      </c>
      <c r="V21" s="36">
        <f>(660.4+($U21-660.4)*($C21+$S21)/$T21)*(1/25.4)</f>
        <v>21.86713910761155</v>
      </c>
      <c r="W21" s="36">
        <f t="shared" si="7"/>
        <v>290</v>
      </c>
      <c r="X21" s="36">
        <f>(660.4+($W21-660.4)*($C21+$S21)/$T21)*(1/25.4)</f>
        <v>19.632230971128607</v>
      </c>
      <c r="Y21" s="37">
        <f>IF($G21&lt;508,IF($R21="Typical",20,0.03937*$G21),IF($G21&lt;=660.4,0.03937*$G21,IF($G21&lt;=1244.6,$V21,$V21)))</f>
        <v>20</v>
      </c>
      <c r="Z21" s="37">
        <f>IF($H21&lt;508,IF($R21="Typical",20,0.03937*$H21),IF($H21&lt;=660.4,0.03937*$H21,IF($H21&lt;=1244.6,IF($B21="VCB",0.03937*$H21,$X21),IF($B21="VCB",49,$X21))))</f>
        <v>20</v>
      </c>
      <c r="AA21" s="39">
        <f>(Z21+Y21)/2</f>
        <v>20</v>
      </c>
      <c r="AB21" s="38">
        <f>SUMIFS(Table7!C:C,Table7!A:A,"Typical",Table7!B:B,$B21)*$AA21^2+SUMIFS(Table7!D:D,Table7!A:A,"Typical",Table7!B:B,$B21)*$AA21+SUMIFS(Table7!E:E,Table7!A:A,"Typical",Table7!B:B,$B21)</f>
        <v>0.99995999999999996</v>
      </c>
      <c r="AC21" s="38">
        <f>1/(SUMIFS(Table7!C:C,Table7!A:A,"Shallow",Table7!B:B,$B21)*$AA21^2+SUMIFS(Table7!D:D,Table7!A:A,"Shallow",Table7!B:B,$B21)*$AA21+SUMIFS(Table7!E:E,Table7!A:A,"Shallow",Table7!B:B,$B21))</f>
        <v>1.0010010010010011</v>
      </c>
      <c r="AD21" s="39">
        <f>IF(R21="Typical",AB21,AC21)</f>
        <v>0.99995999999999996</v>
      </c>
      <c r="AE21" s="39">
        <f>(12.552/50)*Q21*10^(SUMIFS(Table3!$B:$B,Table3!$A:$A,$B21)+SUMIFS(Table3!$C:$C,Table3!$A:$A,$B21)*LOG10($E21)+SUMIFS(Table3!$D:$D,Table3!$A:$A,$B21)*$J21/(SUMIFS(Table3!$E:$E,Table3!$A:$A,$B21)*$D21^7+SUMIFS(Table3!$F:$F,Table3!$A:$A,$B21)*$D21^6+SUMIFS(Table3!$G:$G,Table3!$A:$A,$B21)*$D21^5+SUMIFS(Table3!$H:$H,Table3!$A:$A,$B21)*$D21^4+SUMIFS(Table3!$I:$I,Table3!$A:$A,$B21)*$D21^3+SUMIFS(Table3!$J:$J,Table3!$A:$A,$B21)*$D21^2+SUMIFS(Table3!$K:$K,Table3!$A:$A,$B21)*$D21)+SUMIFS(Table3!$L:$L,Table3!$A:$A,$B21)*LOG10($D21)+SUMIFS(Table3!$M:$M,Table3!$A:$A,$B21)*LOG10($F21)+SUMIFS(Table3!$N:$N,Table3!$A:$A,$B21)*LOG10(P21)+LOG10(1/$AD21))</f>
        <v>40.125587368780423</v>
      </c>
      <c r="AF21" s="39">
        <f>(12.552/50)*Q21*10^(SUMIFS(Table3!$B:$B,Table3!$A:$A,$B21)+SUMIFS(Table3!$C:$C,Table3!$A:$A,$B21)*LOG10($E21)+SUMIFS(Table3!$D:$D,Table3!$A:$A,$B21)*J21/(SUMIFS(Table3!$E:$E,Table3!$A:$A,$B21)*$D21^7+SUMIFS(Table3!$F:$F,Table3!$A:$A,$B21)*$D21^6+SUMIFS(Table3!$G:$G,Table3!$A:$A,$B21)*$D21^5+SUMIFS(Table3!$H:$H,Table3!$A:$A,$B21)*$D21^4+SUMIFS(Table3!$I:$I,Table3!$A:$A,$B21)*$D21^3+SUMIFS(Table3!$J:$J,Table3!$A:$A,$B21)*$D21^2+SUMIFS(Table3!$K:$K,Table3!$A:$A,$B21)*$D21)+SUMIFS(Table3!$L:$L,Table3!$A:$A,$B21)*LOG10($D21)+SUMIFS(Table3!$M:$M,Table3!$A:$A,$B21)*LOG10($F21)+SUMIFS(Table3!$N:$N,Table3!$A:$A,$B21)*LOG10(J21)+LOG10(1/$AD21))</f>
        <v>43.528284355456108</v>
      </c>
      <c r="AG21" s="39">
        <f>(12.552/50)*Q21*10^(SUMIFS(Table4!$B:$B,Table4!$A:$A,$B21)+SUMIFS(Table4!$C:$C,Table4!$A:$A,$B21)*LOG10($E21)+SUMIFS(Table4!$D:$D,Table4!$A:$A,$B21)*K21/(SUMIFS(Table4!$E:$E,Table4!$A:$A,$B21)*$D21^7+SUMIFS(Table4!$F:$F,Table4!$A:$A,$B21)*$D21^6+SUMIFS(Table4!$G:$G,Table4!$A:$A,$B21)*$D21^5+SUMIFS(Table4!$H:$H,Table4!$A:$A,$B21)*$D21^4+SUMIFS(Table4!$I:$I,Table4!$A:$A,$B21)*$D21^3+SUMIFS(Table4!$J:$J,Table4!$A:$A,$B21)*$D21^2+SUMIFS(Table4!$K:$K,Table4!$A:$A,$B21)*$D21)+SUMIFS(Table4!$L:$L,Table4!$A:$A,$B21)*LOG10($D21)+SUMIFS(Table4!$M:$M,Table4!$A:$A,$B21)*LOG10($F21)+SUMIFS(Table4!$N:$N,Table4!$A:$A,$B21)*LOG10(K21)+LOG10(1/$AD21))</f>
        <v>71.243992666014208</v>
      </c>
      <c r="AH21" s="39">
        <f>(12.552/50)*Q21*10^(SUMIFS(Table5!$B:$B,Table5!$A:$A,$B21)+SUMIFS(Table5!$C:$C,Table5!$A:$A,$B21)*LOG10($E21)+SUMIFS(Table5!$D:$D,Table5!$A:$A,$B21)*L21/(SUMIFS(Table5!$E:$E,Table5!$A:$A,$B21)*$D21^7+SUMIFS(Table5!$F:$F,Table5!$A:$A,$B21)*$D21^6+SUMIFS(Table5!$G:$G,Table5!$A:$A,$B21)*$D21^5+SUMIFS(Table5!$H:$H,Table5!$A:$A,$B21)*$D21^4+SUMIFS(Table5!$I:$I,Table5!$A:$A,$B21)*$D21^3+SUMIFS(Table5!$J:$J,Table5!$A:$A,$B21)*$D21^2+SUMIFS(Table5!$K:$K,Table5!$A:$A,$B21)*$D21)+SUMIFS(Table5!$L:$L,Table5!$A:$A,$B21)*LOG10($D21)+SUMIFS(Table5!$M:$M,Table5!$A:$A,$B21)*LOG10($F21)+SUMIFS(Table5!$N:$N,Table5!$A:$A,$B21)*LOG10(L21)+LOG10(1/$AD21))</f>
        <v>85.396864492106786</v>
      </c>
      <c r="AI21" s="39">
        <f t="shared" si="28"/>
        <v>41.944529594852789</v>
      </c>
      <c r="AJ21" s="39">
        <f t="shared" si="29"/>
        <v>68.535425816537867</v>
      </c>
      <c r="AK21" s="39">
        <f t="shared" si="30"/>
        <v>40.425049810756498</v>
      </c>
      <c r="AL21" s="40">
        <f t="shared" si="31"/>
        <v>40.125587368780423</v>
      </c>
      <c r="AM21" s="42">
        <f>10^((SUMIFS(Table3!$B:$B,Table3!$A:$A,$B21)+SUMIFS(Table3!$C:$C,Table3!$A:$A,$B21)*LOG10($E21)+(SUMIFS(Table3!$D:$D,Table3!$A:$A,$B21)*$J21)/(SUMIFS(Table3!$E:$E,Table3!$A:$A,$B21)*$D21^7+SUMIFS(Table3!$F:$F,Table3!$A:$A,$B21)*$D21^6+SUMIFS(Table3!$G:$G,Table3!$A:$A,$B21)*$D21^5+SUMIFS(Table3!$H:$H,Table3!$A:$A,$B21)*$D21^4+SUMIFS(Table3!$I:$I,Table3!$A:$A,$B21)*$D21^3+SUMIFS(Table3!$J:$J,Table3!$A:$A,$B21)*$D21^2+SUMIFS(Table3!$K:$K,Table3!$A:$A,$B21)*$D21)+SUMIFS(Table3!$L:$L,Table3!$A:$A,$B21)*LOG10($D21)+SUMIFS(Table3!$N:$N,Table3!$A:$A,$B21)*LOG10(P21)+LOG10(1/$AD21)-LOG10(20/Q21))/-SUMIFS(Table3!$M:$M,Table3!$A:$A,$B21))</f>
        <v>1442.3900488759127</v>
      </c>
      <c r="AN21" s="42">
        <f>10^((SUMIFS(Table3!$B:$B,Table3!$A:$A,$B21)+SUMIFS(Table3!$C:$C,Table3!$A:$A,$B21)*LOG10($E21)+(SUMIFS(Table3!$D:$D,Table3!$A:$A,$B21)*J21)/(SUMIFS(Table3!$E:$E,Table3!$A:$A,$B21)*$D21^7+SUMIFS(Table3!$F:$F,Table3!$A:$A,$B21)*$D21^6+SUMIFS(Table3!$G:$G,Table3!$A:$A,$B21)*$D21^5+SUMIFS(Table3!$H:$H,Table3!$A:$A,$B21)*$D21^4+SUMIFS(Table3!$I:$I,Table3!$A:$A,$B21)*$D21^3+SUMIFS(Table3!$J:$J,Table3!$A:$A,$B21)*$D21^2+SUMIFS(Table3!$K:$K,Table3!$A:$A,$B21)*$D21)+SUMIFS(Table3!$L:$L,Table3!$A:$A,$B21)*LOG10($D21)+SUMIFS(Table3!$N:$N,Table3!$A:$A,$B21)*LOG10(J21)+LOG10(1/$AD21)-LOG10(20/Q21))/-SUMIFS(Table3!$M:$M,Table3!$A:$A,$B21))</f>
        <v>1508.7732718429054</v>
      </c>
      <c r="AO21" s="42">
        <f>10^((SUMIFS(Table4!$B:$B,Table4!$A:$A,$B21)+SUMIFS(Table4!$C:$C,Table4!$A:$A,$B21)*LOG10($E21)+(SUMIFS(Table4!$D:$D,Table4!$A:$A,$B21)*K21)/(SUMIFS(Table4!$E:$E,Table4!$A:$A,$B21)*$D21^7+SUMIFS(Table4!$F:$F,Table4!$A:$A,$B21)*$D21^6+SUMIFS(Table4!$G:$G,Table4!$A:$A,$B21)*$D21^5+SUMIFS(Table4!$H:$H,Table4!$A:$A,$B21)*$D21^4+SUMIFS(Table4!$I:$I,Table4!$A:$A,$B21)*$D21^3+SUMIFS(Table4!$J:$J,Table4!$A:$A,$B21)*$D21^2+SUMIFS(Table4!$K:$K,Table4!$A:$A,$B21)*$D21)+SUMIFS(Table4!$L:$L,Table4!$A:$A,$B21)*LOG10($D21)+SUMIFS(Table4!$N:$N,Table4!$A:$A,$B21)*LOG10(K21)+LOG10(1/$AD21)-LOG10(20/Q21))/-SUMIFS(Table4!$M:$M,Table4!$A:$A,$B21))</f>
        <v>2096.046433563085</v>
      </c>
      <c r="AP21" s="42">
        <f>10^((SUMIFS(Table5!$B:$B,Table5!$A:$A,$B21)+SUMIFS(Table5!$C:$C,Table5!$A:$A,$B21)*LOG10($E21)+(SUMIFS(Table5!$D:$D,Table5!$A:$A,$B21)*L21)/(SUMIFS(Table5!$E:$E,Table5!$A:$A,$B21)*$D21^7+SUMIFS(Table5!$F:$F,Table5!$A:$A,$B21)*$D21^6+SUMIFS(Table5!$G:$G,Table5!$A:$A,$B21)*$D21^5+SUMIFS(Table5!$H:$H,Table5!$A:$A,$B21)*$D21^4+SUMIFS(Table5!$I:$I,Table5!$A:$A,$B21)*$D21^3+SUMIFS(Table5!$J:$J,Table5!$A:$A,$B21)*$D21^2+SUMIFS(Table5!$K:$K,Table5!$A:$A,$B21)*$D21)+SUMIFS(Table5!$L:$L,Table5!$A:$A,$B21)*LOG10($D21)+SUMIFS(Table5!$N:$N,Table5!$A:$A,$B21)*LOG10(L21)+LOG10(1/$AD21)-LOG10(20/Q21))/-SUMIFS(Table5!$M:$M,Table5!$A:$A,$B21))</f>
        <v>2477.1810219814261</v>
      </c>
      <c r="AQ21" s="42">
        <f t="shared" si="32"/>
        <v>1475.2148054588952</v>
      </c>
      <c r="AR21" s="42">
        <f t="shared" si="33"/>
        <v>2023.1051588830233</v>
      </c>
      <c r="AS21" s="42">
        <f t="shared" si="34"/>
        <v>1443.9067852632306</v>
      </c>
      <c r="AT21" s="43">
        <f t="shared" si="35"/>
        <v>1442.3900488759127</v>
      </c>
      <c r="AU21" s="39">
        <f>SUMIFS(Table2!$B:$B,Table2!$A:$A,$B21)*$C21^6+SUMIFS(Table2!$C:$C,Table2!$A:$A,$B21)*$C21^5+SUMIFS(Table2!$D:$D,Table2!$A:$A,$B21)*$C21^4+SUMIFS(Table2!$E:$E,Table2!$A:$A,$B21)*$C21^3+SUMIFS(Table2!$F:$F,Table2!$A:$A,$B21)*$C21^2+SUMIFS(Table2!$G:$G,Table2!$A:$A,$B21)*$C21+SUMIFS(Table2!$H:$H,Table2!$A:$A,$B21)</f>
        <v>0.23674766277705805</v>
      </c>
      <c r="AV21" s="39">
        <f t="shared" si="36"/>
        <v>0.88162616861147103</v>
      </c>
      <c r="AW21" s="39">
        <f t="shared" si="37"/>
        <v>23.028330167749463</v>
      </c>
      <c r="AX21" s="39">
        <f t="shared" si="38"/>
        <v>23.839889074816774</v>
      </c>
      <c r="AY21" s="39">
        <f t="shared" si="39"/>
        <v>26.004065636969308</v>
      </c>
      <c r="AZ21" s="39">
        <f t="shared" si="40"/>
        <v>22.9819553730599</v>
      </c>
      <c r="BA21" s="39">
        <f t="shared" si="41"/>
        <v>23.425710456887582</v>
      </c>
      <c r="BB21" s="39">
        <f t="shared" si="42"/>
        <v>22.95659793969832</v>
      </c>
      <c r="BC21" s="40">
        <f t="shared" si="43"/>
        <v>21.505841536745752</v>
      </c>
      <c r="BD21" s="41">
        <v>125</v>
      </c>
      <c r="BE21" s="39">
        <f>(12.552/50)*BD21*10^(SUMIFS(Table3!$B:$B,Table3!$A:$A,$B21)+SUMIFS(Table3!$C:$C,Table3!$A:$A,$B21)*LOG10($E21)+SUMIFS(Table3!$D:$D,Table3!$A:$A,$B21)*$J21/(SUMIFS(Table3!$E:$E,Table3!$A:$A,$B21)*$D21^7+SUMIFS(Table3!$F:$F,Table3!$A:$A,$B21)*$D21^6+SUMIFS(Table3!$G:$G,Table3!$A:$A,$B21)*$D21^5+SUMIFS(Table3!$H:$H,Table3!$A:$A,$B21)*$D21^4+SUMIFS(Table3!$I:$I,Table3!$A:$A,$B21)*$D21^3+SUMIFS(Table3!$J:$J,Table3!$A:$A,$B21)*$D21^2+SUMIFS(Table3!$K:$K,Table3!$A:$A,$B21)*$D21)+SUMIFS(Table3!$L:$L,Table3!$A:$A,$B21)*LOG10($D21)+SUMIFS(Table3!$M:$M,Table3!$A:$A,$B21)*LOG10($F21)+SUMIFS(Table3!$N:$N,Table3!$A:$A,$B21)*LOG10(BC21)+LOG10(1/$AD21))</f>
        <v>34.539013177158978</v>
      </c>
      <c r="BF21" s="39">
        <f>(12.552/50)*BD21*10^(SUMIFS(Table3!$B:$B,Table3!$A:$A,$B21)+SUMIFS(Table3!$C:$C,Table3!$A:$A,$B21)*LOG10($E21)+SUMIFS(Table3!$D:$D,Table3!$A:$A,$B21)*AW21/(SUMIFS(Table3!$E:$E,Table3!$A:$A,$B21)*$D21^7+SUMIFS(Table3!$F:$F,Table3!$A:$A,$B21)*$D21^6+SUMIFS(Table3!$G:$G,Table3!$A:$A,$B21)*$D21^5+SUMIFS(Table3!$H:$H,Table3!$A:$A,$B21)*$D21^4+SUMIFS(Table3!$I:$I,Table3!$A:$A,$B21)*$D21^3+SUMIFS(Table3!$J:$J,Table3!$A:$A,$B21)*$D21^2+SUMIFS(Table3!$K:$K,Table3!$A:$A,$B21)*$D21)+SUMIFS(Table3!$L:$L,Table3!$A:$A,$B21)*LOG10($D21)+SUMIFS(Table3!$M:$M,Table3!$A:$A,$B21)*LOG10($F21)+SUMIFS(Table3!$N:$N,Table3!$A:$A,$B21)*LOG10(AW21)+LOG10(1/$AD21))</f>
        <v>38.241167090588803</v>
      </c>
      <c r="BG21" s="39">
        <f>(12.552/50)*BD21*10^(SUMIFS(Table4!$B:$B,Table4!$A:$A,$B21)+SUMIFS(Table4!$C:$C,Table4!$A:$A,$B21)*LOG10($E21)+SUMIFS(Table4!$D:$D,Table4!$A:$A,$B21)*AX21/(SUMIFS(Table4!$E:$E,Table4!$A:$A,$B21)*$D21^7+SUMIFS(Table4!$F:$F,Table4!$A:$A,$B21)*$D21^6+SUMIFS(Table4!$G:$G,Table4!$A:$A,$B21)*$D21^5+SUMIFS(Table4!$H:$H,Table4!$A:$A,$B21)*$D21^4+SUMIFS(Table4!$I:$I,Table4!$A:$A,$B21)*$D21^3+SUMIFS(Table4!$J:$J,Table4!$A:$A,$B21)*$D21^2+SUMIFS(Table4!$K:$K,Table4!$A:$A,$B21)*$D21)+SUMIFS(Table4!$L:$L,Table4!$A:$A,$B21)*LOG10($D21)+SUMIFS(Table4!$M:$M,Table4!$A:$A,$B21)*LOG10($F21)+SUMIFS(Table4!$N:$N,Table4!$A:$A,$B21)*LOG10(AX21)+LOG10(1/$AD21))</f>
        <v>75.15975089272797</v>
      </c>
      <c r="BH21" s="39">
        <f>(12.552/50)*BD21*10^(SUMIFS(Table5!$B:$B,Table5!$A:$A,$B21)+SUMIFS(Table5!$C:$C,Table5!$A:$A,$B21)*LOG10($E21)+SUMIFS(Table5!$D:$D,Table5!$A:$A,$B21)*AY21/(SUMIFS(Table5!$E:$E,Table5!$A:$A,$B21)*$D21^7+SUMIFS(Table5!$F:$F,Table5!$A:$A,$B21)*$D21^6+SUMIFS(Table5!$G:$G,Table5!$A:$A,$B21)*$D21^5+SUMIFS(Table5!$H:$H,Table5!$A:$A,$B21)*$D21^4+SUMIFS(Table5!$I:$I,Table5!$A:$A,$B21)*$D21^3+SUMIFS(Table5!$J:$J,Table5!$A:$A,$B21)*$D21^2+SUMIFS(Table5!$K:$K,Table5!$A:$A,$B21)*$D21)+SUMIFS(Table5!$L:$L,Table5!$A:$A,$B21)*LOG10($D21)+SUMIFS(Table5!$M:$M,Table5!$A:$A,$B21)*LOG10($F21)+SUMIFS(Table5!$N:$N,Table5!$A:$A,$B21)*LOG10(AY21)+LOG10(1/$AD21))</f>
        <v>88.165960658405567</v>
      </c>
      <c r="BI21" s="39">
        <f t="shared" si="44"/>
        <v>36.131533730466558</v>
      </c>
      <c r="BJ21" s="39">
        <f t="shared" si="45"/>
        <v>72.670631437572425</v>
      </c>
      <c r="BK21" s="39">
        <f t="shared" si="46"/>
        <v>34.043585290060506</v>
      </c>
      <c r="BL21" s="40">
        <f t="shared" si="47"/>
        <v>34.539013177158978</v>
      </c>
      <c r="BM21" s="42">
        <f>10^((SUMIFS(Table3!$B:$B,Table3!$A:$A,$B21)+SUMIFS(Table3!$C:$C,Table3!$A:$A,$B21)*LOG10($E21)+(SUMIFS(Table3!$D:$D,Table3!$A:$A,$B21)*$J21)/(SUMIFS(Table3!$E:$E,Table3!$A:$A,$B21)*$D21^7+SUMIFS(Table3!$F:$F,Table3!$A:$A,$B21)*$D21^6+SUMIFS(Table3!$G:$G,Table3!$A:$A,$B21)*$D21^5+SUMIFS(Table3!$H:$H,Table3!$A:$A,$B21)*$D21^4+SUMIFS(Table3!$I:$I,Table3!$A:$A,$B21)*$D21^3+SUMIFS(Table3!$J:$J,Table3!$A:$A,$B21)*$D21^2+SUMIFS(Table3!$K:$K,Table3!$A:$A,$B21)*$D21)+SUMIFS(Table3!$L:$L,Table3!$A:$A,$B21)*LOG10($D21)+SUMIFS(Table3!$N:$N,Table3!$A:$A,$B21)*LOG10(BC21)+LOG10(1/$AD21)-LOG10(20/BD21))/-SUMIFS(Table3!$M:$M,Table3!$A:$A,$B21))</f>
        <v>1327.6684643298945</v>
      </c>
      <c r="BN21" s="42">
        <f>10^((SUMIFS(Table3!$B:$B,Table3!$A:$A,$B21)+SUMIFS(Table3!$C:$C,Table3!$A:$A,$B21)*LOG10($E21)+(SUMIFS(Table3!$D:$D,Table3!$A:$A,$B21)*AW21)/(SUMIFS(Table3!$E:$E,Table3!$A:$A,$B21)*$D21^7+SUMIFS(Table3!$F:$F,Table3!$A:$A,$B21)*$D21^6+SUMIFS(Table3!$G:$G,Table3!$A:$A,$B21)*$D21^5+SUMIFS(Table3!$H:$H,Table3!$A:$A,$B21)*$D21^4+SUMIFS(Table3!$I:$I,Table3!$A:$A,$B21)*$D21^3+SUMIFS(Table3!$J:$J,Table3!$A:$A,$B21)*$D21^2+SUMIFS(Table3!$K:$K,Table3!$A:$A,$B21)*$D21)+SUMIFS(Table3!$L:$L,Table3!$A:$A,$B21)*LOG10($D21)+SUMIFS(Table3!$N:$N,Table3!$A:$A,$B21)*LOG10(AW21)+LOG10(1/$AD21)-LOG10(20/BD21))/-SUMIFS(Table3!$M:$M,Table3!$A:$A,$B21))</f>
        <v>1404.5420786103452</v>
      </c>
      <c r="BO21" s="42">
        <f>10^((SUMIFS(Table4!$B:$B,Table4!$A:$A,$B21)+SUMIFS(Table4!$C:$C,Table4!$A:$A,$B21)*LOG10($E21)+(SUMIFS(Table4!$D:$D,Table4!$A:$A,$B21)*AX21)/(SUMIFS(Table4!$E:$E,Table4!$A:$A,$B21)*$D21^7+SUMIFS(Table4!$F:$F,Table4!$A:$A,$B21)*$D21^6+SUMIFS(Table4!$G:$G,Table4!$A:$A,$B21)*$D21^5+SUMIFS(Table4!$H:$H,Table4!$A:$A,$B21)*$D21^4+SUMIFS(Table4!$I:$I,Table4!$A:$A,$B21)*$D21^3+SUMIFS(Table4!$J:$J,Table4!$A:$A,$B21)*$D21^2+SUMIFS(Table4!$K:$K,Table4!$A:$A,$B21)*$D21)+SUMIFS(Table4!$L:$L,Table4!$A:$A,$B21)*LOG10($D21)+SUMIFS(Table4!$N:$N,Table4!$A:$A,$B21)*LOG10(AX21)+LOG10(1/$AD21)-LOG10(20/BD21))/-SUMIFS(Table4!$M:$M,Table4!$A:$A,$B21))</f>
        <v>2161.4252043035826</v>
      </c>
      <c r="BP21" s="42">
        <f>10^((SUMIFS(Table5!$B:$B,Table5!$A:$A,$B21)+SUMIFS(Table5!$C:$C,Table5!$A:$A,$B21)*LOG10($E21)+(SUMIFS(Table5!$D:$D,Table5!$A:$A,$B21)*AY21)/(SUMIFS(Table5!$E:$E,Table5!$A:$A,$B21)*$D21^7+SUMIFS(Table5!$F:$F,Table5!$A:$A,$B21)*$D21^6+SUMIFS(Table5!$G:$G,Table5!$A:$A,$B21)*$D21^5+SUMIFS(Table5!$H:$H,Table5!$A:$A,$B21)*$D21^4+SUMIFS(Table5!$I:$I,Table5!$A:$A,$B21)*$D21^3+SUMIFS(Table5!$J:$J,Table5!$A:$A,$B21)*$D21^2+SUMIFS(Table5!$K:$K,Table5!$A:$A,$B21)*$D21)+SUMIFS(Table5!$L:$L,Table5!$A:$A,$B21)*LOG10($D21)+SUMIFS(Table5!$N:$N,Table5!$A:$A,$B21)*LOG10(AY21)+LOG10(1/$AD21)-LOG10(20/BD21))/-SUMIFS(Table5!$M:$M,Table5!$A:$A,$B21))</f>
        <v>2524.7705609053983</v>
      </c>
      <c r="BQ21" s="42">
        <f t="shared" si="48"/>
        <v>1361.2916142850174</v>
      </c>
      <c r="BR21" s="42">
        <f t="shared" si="49"/>
        <v>2091.8884205401318</v>
      </c>
      <c r="BS21" s="42">
        <f t="shared" si="50"/>
        <v>1319.5432253561537</v>
      </c>
      <c r="BT21" s="43">
        <f t="shared" si="51"/>
        <v>1327.6684643298945</v>
      </c>
    </row>
    <row r="22" spans="1:72" x14ac:dyDescent="0.2">
      <c r="A22" s="46" t="s">
        <v>189</v>
      </c>
      <c r="B22" s="76" t="s">
        <v>13</v>
      </c>
      <c r="C22" s="41">
        <v>0.48</v>
      </c>
      <c r="D22" s="41">
        <v>13.616</v>
      </c>
      <c r="E22" s="41">
        <v>25</v>
      </c>
      <c r="F22" s="41">
        <v>457.2</v>
      </c>
      <c r="G22" s="41">
        <v>600</v>
      </c>
      <c r="H22" s="41">
        <v>1200</v>
      </c>
      <c r="I22" s="41">
        <v>250</v>
      </c>
      <c r="J22" s="39">
        <f>10^(SUMIFS(Table1!$C:$C,Table1!$B:$B,600,Table1!$A:$A,$B22)+SUMIFS(Table1!$D:$D,Table1!$B:$B,600,Table1!$A:$A,$B22)*LOG10($D22)+SUMIFS(Table1!$E:$E,Table1!$B:$B,600,Table1!$A:$A,$B22)*LOG10($E22))*(SUMIFS(Table1!$F:$F,Table1!$B:$B,600,Table1!$A:$A,$B22)*$D22^6+SUMIFS(Table1!$G:$G,Table1!$B:$B,600,Table1!$A:$A,$B22)*$D22^5+SUMIFS(Table1!$H:$H,Table1!$B:$B,600,Table1!$A:$A,$B22)*$D22^4+SUMIFS(Table1!$I:$I,Table1!$B:$B,600,Table1!$A:$A,$B22)*$D22^3+SUMIFS(Table1!$J:$J,Table1!$B:$B,600,Table1!$A:$A,$B22)*$D22^2+SUMIFS(Table1!$K:$K,Table1!$B:$B,600,Table1!$A:$A,$B22)*$D22+SUMIFS(Table1!$L:$L,Table1!$B:$B,600,Table1!$A:$A,$B22))</f>
        <v>11.813766523339075</v>
      </c>
      <c r="K22" s="39">
        <f>10^(SUMIFS(Table1!$C:$C,Table1!$B:$B,2700,Table1!$A:$A,$B22)+SUMIFS(Table1!$D:$D,Table1!$B:$B,2700,Table1!$A:$A,$B22)*LOG10($D22)+SUMIFS(Table1!$E:$E,Table1!$B:$B,2700,Table1!$A:$A,$B22)*LOG10($E22))*(SUMIFS(Table1!$F:$F,Table1!$B:$B,2700,Table1!$A:$A,$B22)*$D22^6+SUMIFS(Table1!$G:$G,Table1!$B:$B,2700,Table1!$A:$A,$B22)*$D22^5+SUMIFS(Table1!$H:$H,Table1!$B:$B,2700,Table1!$A:$A,$B22)*$D22^4+SUMIFS(Table1!$I:$I,Table1!$B:$B,2700,Table1!$A:$A,$B22)*$D22^3+SUMIFS(Table1!$J:$J,Table1!$B:$B,2700,Table1!$A:$A,$B22)*$D22^2+SUMIFS(Table1!$K:$K,Table1!$B:$B,2700,Table1!$A:$A,$B22)*$D22+SUMIFS(Table1!$L:$L,Table1!$B:$B,2700,Table1!$A:$A,$B22))</f>
        <v>12.341323378575787</v>
      </c>
      <c r="L22" s="39">
        <f>10^(SUMIFS(Table1!$C:$C,Table1!$B:$B,14300,Table1!$A:$A,$B22)+SUMIFS(Table1!$D:$D,Table1!$B:$B,14300,Table1!$A:$A,$B22)*LOG10($D22)+SUMIFS(Table1!$E:$E,Table1!$B:$B,14300,Table1!$A:$A,$B22)*LOG10($E22))*(SUMIFS(Table1!$F:$F,Table1!$B:$B,14300,Table1!$A:$A,$B22)*$D22^6+SUMIFS(Table1!$G:$G,Table1!$B:$B,14300,Table1!$A:$A,$B22)*$D22^5+SUMIFS(Table1!$H:$H,Table1!$B:$B,14300,Table1!$A:$A,$B22)*$D22^4+SUMIFS(Table1!$I:$I,Table1!$B:$B,14300,Table1!$A:$A,$B22)*$D22^3+SUMIFS(Table1!$J:$J,Table1!$B:$B,14300,Table1!$A:$A,$B22)*$D22^2+SUMIFS(Table1!$K:$K,Table1!$B:$B,14300,Table1!$A:$A,$B22)*$D22+SUMIFS(Table1!$L:$L,Table1!$B:$B,14300,Table1!$A:$A,$B22))</f>
        <v>13.300602837382238</v>
      </c>
      <c r="M22" s="39">
        <f t="shared" si="0"/>
        <v>11.783620417325547</v>
      </c>
      <c r="N22" s="39">
        <f t="shared" si="1"/>
        <v>12.157737137321449</v>
      </c>
      <c r="O22" s="39">
        <f t="shared" si="2"/>
        <v>11.76224231904007</v>
      </c>
      <c r="P22" s="40">
        <f t="shared" si="52"/>
        <v>11.069210105606095</v>
      </c>
      <c r="Q22" s="41">
        <v>20</v>
      </c>
      <c r="R22" s="45" t="str">
        <f t="shared" si="3"/>
        <v>Typical</v>
      </c>
      <c r="S22" s="36">
        <f t="shared" si="4"/>
        <v>10</v>
      </c>
      <c r="T22" s="36">
        <f t="shared" si="5"/>
        <v>24</v>
      </c>
      <c r="U22" s="36">
        <f t="shared" si="6"/>
        <v>600</v>
      </c>
      <c r="V22" s="36">
        <f>(660.4+($U22-660.4)*($C22+$S22)/$T22)*(1/25.4)</f>
        <v>24.961627296587924</v>
      </c>
      <c r="W22" s="36">
        <f t="shared" si="7"/>
        <v>1200</v>
      </c>
      <c r="X22" s="36">
        <f>(660.4+($W22-660.4)*($C22+$S22)/$T22)*(1/25.4)</f>
        <v>35.276587926509187</v>
      </c>
      <c r="Y22" s="37">
        <f>IF($G22&lt;508,IF($R22="Typical",20,0.03937*$G22),IF($G22&lt;=660.4,0.03937*$G22,IF($G22&lt;=1244.6,$V22,$V22)))</f>
        <v>23.622</v>
      </c>
      <c r="Z22" s="37">
        <f>IF($H22&lt;508,IF($R22="Typical",20,0.03937*$H22),IF($H22&lt;=660.4,0.03937*$H22,IF($H22&lt;=1244.6,IF($B22="VCB",0.03937*$H22,$X22),IF($B22="VCB",49,$X22))))</f>
        <v>35.276587926509187</v>
      </c>
      <c r="AA22" s="39">
        <f>(Z22+Y22)/2</f>
        <v>29.449293963254593</v>
      </c>
      <c r="AB22" s="38">
        <f>SUMIFS(Table7!C:C,Table7!A:A,"Typical",Table7!B:B,$B22)*$AA22^2+SUMIFS(Table7!D:D,Table7!A:A,"Typical",Table7!B:B,$B22)*$AA22+SUMIFS(Table7!E:E,Table7!A:A,"Typical",Table7!B:B,$B22)</f>
        <v>1.1632805585397339</v>
      </c>
      <c r="AC22" s="38">
        <f>1/(SUMIFS(Table7!C:C,Table7!A:A,"Shallow",Table7!B:B,$B22)*$AA22^2+SUMIFS(Table7!D:D,Table7!A:A,"Shallow",Table7!B:B,$B22)*$AA22+SUMIFS(Table7!E:E,Table7!A:A,"Shallow",Table7!B:B,$B22))</f>
        <v>1.2059891192095833</v>
      </c>
      <c r="AD22" s="39">
        <f>IF(R22="Typical",AB22,AC22)</f>
        <v>1.1632805585397339</v>
      </c>
      <c r="AE22" s="39">
        <f>(12.552/50)*Q22*10^(SUMIFS(Table3!$B:$B,Table3!$A:$A,$B22)+SUMIFS(Table3!$C:$C,Table3!$A:$A,$B22)*LOG10($E22)+SUMIFS(Table3!$D:$D,Table3!$A:$A,$B22)*$J22/(SUMIFS(Table3!$E:$E,Table3!$A:$A,$B22)*$D22^7+SUMIFS(Table3!$F:$F,Table3!$A:$A,$B22)*$D22^6+SUMIFS(Table3!$G:$G,Table3!$A:$A,$B22)*$D22^5+SUMIFS(Table3!$H:$H,Table3!$A:$A,$B22)*$D22^4+SUMIFS(Table3!$I:$I,Table3!$A:$A,$B22)*$D22^3+SUMIFS(Table3!$J:$J,Table3!$A:$A,$B22)*$D22^2+SUMIFS(Table3!$K:$K,Table3!$A:$A,$B22)*$D22)+SUMIFS(Table3!$L:$L,Table3!$A:$A,$B22)*LOG10($D22)+SUMIFS(Table3!$M:$M,Table3!$A:$A,$B22)*LOG10($F22)+SUMIFS(Table3!$N:$N,Table3!$A:$A,$B22)*LOG10(P22)+LOG10(1/$AD22))</f>
        <v>2.2551840611835519</v>
      </c>
      <c r="AF22" s="39">
        <f>(12.552/50)*Q22*10^(SUMIFS(Table3!$B:$B,Table3!$A:$A,$B22)+SUMIFS(Table3!$C:$C,Table3!$A:$A,$B22)*LOG10($E22)+SUMIFS(Table3!$D:$D,Table3!$A:$A,$B22)*J22/(SUMIFS(Table3!$E:$E,Table3!$A:$A,$B22)*$D22^7+SUMIFS(Table3!$F:$F,Table3!$A:$A,$B22)*$D22^6+SUMIFS(Table3!$G:$G,Table3!$A:$A,$B22)*$D22^5+SUMIFS(Table3!$H:$H,Table3!$A:$A,$B22)*$D22^4+SUMIFS(Table3!$I:$I,Table3!$A:$A,$B22)*$D22^3+SUMIFS(Table3!$J:$J,Table3!$A:$A,$B22)*$D22^2+SUMIFS(Table3!$K:$K,Table3!$A:$A,$B22)*$D22)+SUMIFS(Table3!$L:$L,Table3!$A:$A,$B22)*LOG10($D22)+SUMIFS(Table3!$M:$M,Table3!$A:$A,$B22)*LOG10($F22)+SUMIFS(Table3!$N:$N,Table3!$A:$A,$B22)*LOG10(J22)+LOG10(1/$AD22))</f>
        <v>2.436830821963694</v>
      </c>
      <c r="AG22" s="39">
        <f>(12.552/50)*Q22*10^(SUMIFS(Table4!$B:$B,Table4!$A:$A,$B22)+SUMIFS(Table4!$C:$C,Table4!$A:$A,$B22)*LOG10($E22)+SUMIFS(Table4!$D:$D,Table4!$A:$A,$B22)*K22/(SUMIFS(Table4!$E:$E,Table4!$A:$A,$B22)*$D22^7+SUMIFS(Table4!$F:$F,Table4!$A:$A,$B22)*$D22^6+SUMIFS(Table4!$G:$G,Table4!$A:$A,$B22)*$D22^5+SUMIFS(Table4!$H:$H,Table4!$A:$A,$B22)*$D22^4+SUMIFS(Table4!$I:$I,Table4!$A:$A,$B22)*$D22^3+SUMIFS(Table4!$J:$J,Table4!$A:$A,$B22)*$D22^2+SUMIFS(Table4!$K:$K,Table4!$A:$A,$B22)*$D22)+SUMIFS(Table4!$L:$L,Table4!$A:$A,$B22)*LOG10($D22)+SUMIFS(Table4!$M:$M,Table4!$A:$A,$B22)*LOG10($F22)+SUMIFS(Table4!$N:$N,Table4!$A:$A,$B22)*LOG10(K22)+LOG10(1/$AD22))</f>
        <v>4.140325068568786</v>
      </c>
      <c r="AH22" s="39">
        <f>(12.552/50)*Q22*10^(SUMIFS(Table5!$B:$B,Table5!$A:$A,$B22)+SUMIFS(Table5!$C:$C,Table5!$A:$A,$B22)*LOG10($E22)+SUMIFS(Table5!$D:$D,Table5!$A:$A,$B22)*L22/(SUMIFS(Table5!$E:$E,Table5!$A:$A,$B22)*$D22^7+SUMIFS(Table5!$F:$F,Table5!$A:$A,$B22)*$D22^6+SUMIFS(Table5!$G:$G,Table5!$A:$A,$B22)*$D22^5+SUMIFS(Table5!$H:$H,Table5!$A:$A,$B22)*$D22^4+SUMIFS(Table5!$I:$I,Table5!$A:$A,$B22)*$D22^3+SUMIFS(Table5!$J:$J,Table5!$A:$A,$B22)*$D22^2+SUMIFS(Table5!$K:$K,Table5!$A:$A,$B22)*$D22)+SUMIFS(Table5!$L:$L,Table5!$A:$A,$B22)*LOG10($D22)+SUMIFS(Table5!$M:$M,Table5!$A:$A,$B22)*LOG10($F22)+SUMIFS(Table5!$N:$N,Table5!$A:$A,$B22)*LOG10(L22)+LOG10(1/$AD22))</f>
        <v>5.1059094898156099</v>
      </c>
      <c r="AI22" s="39">
        <f t="shared" si="28"/>
        <v>2.3394882935862604</v>
      </c>
      <c r="AJ22" s="39">
        <f t="shared" si="29"/>
        <v>3.9555321879508591</v>
      </c>
      <c r="AK22" s="39">
        <f t="shared" si="30"/>
        <v>2.2471429281939974</v>
      </c>
      <c r="AL22" s="40">
        <f t="shared" si="31"/>
        <v>2.2551840611835519</v>
      </c>
      <c r="AM22" s="42">
        <f>10^((SUMIFS(Table3!$B:$B,Table3!$A:$A,$B22)+SUMIFS(Table3!$C:$C,Table3!$A:$A,$B22)*LOG10($E22)+(SUMIFS(Table3!$D:$D,Table3!$A:$A,$B22)*$J22)/(SUMIFS(Table3!$E:$E,Table3!$A:$A,$B22)*$D22^7+SUMIFS(Table3!$F:$F,Table3!$A:$A,$B22)*$D22^6+SUMIFS(Table3!$G:$G,Table3!$A:$A,$B22)*$D22^5+SUMIFS(Table3!$H:$H,Table3!$A:$A,$B22)*$D22^4+SUMIFS(Table3!$I:$I,Table3!$A:$A,$B22)*$D22^3+SUMIFS(Table3!$J:$J,Table3!$A:$A,$B22)*$D22^2+SUMIFS(Table3!$K:$K,Table3!$A:$A,$B22)*$D22)+SUMIFS(Table3!$L:$L,Table3!$A:$A,$B22)*LOG10($D22)+SUMIFS(Table3!$N:$N,Table3!$A:$A,$B22)*LOG10(P22)+LOG10(1/$AD22)-LOG10(20/Q22))/-SUMIFS(Table3!$M:$M,Table3!$A:$A,$B22))</f>
        <v>293.73850290554066</v>
      </c>
      <c r="AN22" s="42">
        <f>10^((SUMIFS(Table3!$B:$B,Table3!$A:$A,$B22)+SUMIFS(Table3!$C:$C,Table3!$A:$A,$B22)*LOG10($E22)+(SUMIFS(Table3!$D:$D,Table3!$A:$A,$B22)*J22)/(SUMIFS(Table3!$E:$E,Table3!$A:$A,$B22)*$D22^7+SUMIFS(Table3!$F:$F,Table3!$A:$A,$B22)*$D22^6+SUMIFS(Table3!$G:$G,Table3!$A:$A,$B22)*$D22^5+SUMIFS(Table3!$H:$H,Table3!$A:$A,$B22)*$D22^4+SUMIFS(Table3!$I:$I,Table3!$A:$A,$B22)*$D22^3+SUMIFS(Table3!$J:$J,Table3!$A:$A,$B22)*$D22^2+SUMIFS(Table3!$K:$K,Table3!$A:$A,$B22)*$D22)+SUMIFS(Table3!$L:$L,Table3!$A:$A,$B22)*LOG10($D22)+SUMIFS(Table3!$N:$N,Table3!$A:$A,$B22)*LOG10(J22)+LOG10(1/$AD22)-LOG10(20/Q22))/-SUMIFS(Table3!$M:$M,Table3!$A:$A,$B22))</f>
        <v>306.59047480651896</v>
      </c>
      <c r="AO22" s="42">
        <f>10^((SUMIFS(Table4!$B:$B,Table4!$A:$A,$B22)+SUMIFS(Table4!$C:$C,Table4!$A:$A,$B22)*LOG10($E22)+(SUMIFS(Table4!$D:$D,Table4!$A:$A,$B22)*K22)/(SUMIFS(Table4!$E:$E,Table4!$A:$A,$B22)*$D22^7+SUMIFS(Table4!$F:$F,Table4!$A:$A,$B22)*$D22^6+SUMIFS(Table4!$G:$G,Table4!$A:$A,$B22)*$D22^5+SUMIFS(Table4!$H:$H,Table4!$A:$A,$B22)*$D22^4+SUMIFS(Table4!$I:$I,Table4!$A:$A,$B22)*$D22^3+SUMIFS(Table4!$J:$J,Table4!$A:$A,$B22)*$D22^2+SUMIFS(Table4!$K:$K,Table4!$A:$A,$B22)*$D22)+SUMIFS(Table4!$L:$L,Table4!$A:$A,$B22)*LOG10($D22)+SUMIFS(Table4!$N:$N,Table4!$A:$A,$B22)*LOG10(K22)+LOG10(1/$AD22)-LOG10(20/Q22))/-SUMIFS(Table4!$M:$M,Table4!$A:$A,$B22))</f>
        <v>409.29450186628037</v>
      </c>
      <c r="AP22" s="42">
        <f>10^((SUMIFS(Table5!$B:$B,Table5!$A:$A,$B22)+SUMIFS(Table5!$C:$C,Table5!$A:$A,$B22)*LOG10($E22)+(SUMIFS(Table5!$D:$D,Table5!$A:$A,$B22)*L22)/(SUMIFS(Table5!$E:$E,Table5!$A:$A,$B22)*$D22^7+SUMIFS(Table5!$F:$F,Table5!$A:$A,$B22)*$D22^6+SUMIFS(Table5!$G:$G,Table5!$A:$A,$B22)*$D22^5+SUMIFS(Table5!$H:$H,Table5!$A:$A,$B22)*$D22^4+SUMIFS(Table5!$I:$I,Table5!$A:$A,$B22)*$D22^3+SUMIFS(Table5!$J:$J,Table5!$A:$A,$B22)*$D22^2+SUMIFS(Table5!$K:$K,Table5!$A:$A,$B22)*$D22)+SUMIFS(Table5!$L:$L,Table5!$A:$A,$B22)*LOG10($D22)+SUMIFS(Table5!$N:$N,Table5!$A:$A,$B22)*LOG10(L22)+LOG10(1/$AD22)-LOG10(20/Q22))/-SUMIFS(Table5!$M:$M,Table5!$A:$A,$B22))</f>
        <v>461.80576098693143</v>
      </c>
      <c r="AQ22" s="42">
        <f t="shared" si="32"/>
        <v>300.72167326024686</v>
      </c>
      <c r="AR22" s="42">
        <f t="shared" si="33"/>
        <v>399.24493331043163</v>
      </c>
      <c r="AS22" s="42">
        <f t="shared" si="34"/>
        <v>295.09177268595056</v>
      </c>
      <c r="AT22" s="43">
        <f t="shared" si="35"/>
        <v>293.73850290554066</v>
      </c>
      <c r="AU22" s="39">
        <f>SUMIFS(Table2!$B:$B,Table2!$A:$A,$B22)*$C22^6+SUMIFS(Table2!$C:$C,Table2!$A:$A,$B22)*$C22^5+SUMIFS(Table2!$D:$D,Table2!$A:$A,$B22)*$C22^4+SUMIFS(Table2!$E:$E,Table2!$A:$A,$B22)*$C22^3+SUMIFS(Table2!$F:$F,Table2!$A:$A,$B22)*$C22^2+SUMIFS(Table2!$G:$G,Table2!$A:$A,$B22)*$C22+SUMIFS(Table2!$H:$H,Table2!$A:$A,$B22)</f>
        <v>0.23674766277705805</v>
      </c>
      <c r="AV22" s="39">
        <f t="shared" si="36"/>
        <v>0.88162616861147103</v>
      </c>
      <c r="AW22" s="39">
        <f t="shared" si="37"/>
        <v>10.415325716841886</v>
      </c>
      <c r="AX22" s="39">
        <f t="shared" si="38"/>
        <v>10.880433645848946</v>
      </c>
      <c r="AY22" s="39">
        <f t="shared" si="39"/>
        <v>11.726159519744163</v>
      </c>
      <c r="AZ22" s="39">
        <f t="shared" si="40"/>
        <v>10.388748120898626</v>
      </c>
      <c r="BA22" s="39">
        <f t="shared" si="41"/>
        <v>10.718579211362103</v>
      </c>
      <c r="BB22" s="39">
        <f t="shared" si="42"/>
        <v>10.369900630014998</v>
      </c>
      <c r="BC22" s="40">
        <f t="shared" si="43"/>
        <v>9.7589052949608774</v>
      </c>
      <c r="BD22" s="41">
        <v>20</v>
      </c>
      <c r="BE22" s="39">
        <f>(12.552/50)*BD22*10^(SUMIFS(Table3!$B:$B,Table3!$A:$A,$B22)+SUMIFS(Table3!$C:$C,Table3!$A:$A,$B22)*LOG10($E22)+SUMIFS(Table3!$D:$D,Table3!$A:$A,$B22)*$J22/(SUMIFS(Table3!$E:$E,Table3!$A:$A,$B22)*$D22^7+SUMIFS(Table3!$F:$F,Table3!$A:$A,$B22)*$D22^6+SUMIFS(Table3!$G:$G,Table3!$A:$A,$B22)*$D22^5+SUMIFS(Table3!$H:$H,Table3!$A:$A,$B22)*$D22^4+SUMIFS(Table3!$I:$I,Table3!$A:$A,$B22)*$D22^3+SUMIFS(Table3!$J:$J,Table3!$A:$A,$B22)*$D22^2+SUMIFS(Table3!$K:$K,Table3!$A:$A,$B22)*$D22)+SUMIFS(Table3!$L:$L,Table3!$A:$A,$B22)*LOG10($D22)+SUMIFS(Table3!$M:$M,Table3!$A:$A,$B22)*LOG10($F22)+SUMIFS(Table3!$N:$N,Table3!$A:$A,$B22)*LOG10(BC22)+LOG10(1/$AD22))</f>
        <v>1.9412010418753667</v>
      </c>
      <c r="BF22" s="39">
        <f>(12.552/50)*BD22*10^(SUMIFS(Table3!$B:$B,Table3!$A:$A,$B22)+SUMIFS(Table3!$C:$C,Table3!$A:$A,$B22)*LOG10($E22)+SUMIFS(Table3!$D:$D,Table3!$A:$A,$B22)*AW22/(SUMIFS(Table3!$E:$E,Table3!$A:$A,$B22)*$D22^7+SUMIFS(Table3!$F:$F,Table3!$A:$A,$B22)*$D22^6+SUMIFS(Table3!$G:$G,Table3!$A:$A,$B22)*$D22^5+SUMIFS(Table3!$H:$H,Table3!$A:$A,$B22)*$D22^4+SUMIFS(Table3!$I:$I,Table3!$A:$A,$B22)*$D22^3+SUMIFS(Table3!$J:$J,Table3!$A:$A,$B22)*$D22^2+SUMIFS(Table3!$K:$K,Table3!$A:$A,$B22)*$D22)+SUMIFS(Table3!$L:$L,Table3!$A:$A,$B22)*LOG10($D22)+SUMIFS(Table3!$M:$M,Table3!$A:$A,$B22)*LOG10($F22)+SUMIFS(Table3!$N:$N,Table3!$A:$A,$B22)*LOG10(AW22)+LOG10(1/$AD22))</f>
        <v>2.1415513179185255</v>
      </c>
      <c r="BG22" s="39">
        <f>(12.552/50)*BD22*10^(SUMIFS(Table4!$B:$B,Table4!$A:$A,$B22)+SUMIFS(Table4!$C:$C,Table4!$A:$A,$B22)*LOG10($E22)+SUMIFS(Table4!$D:$D,Table4!$A:$A,$B22)*AX22/(SUMIFS(Table4!$E:$E,Table4!$A:$A,$B22)*$D22^7+SUMIFS(Table4!$F:$F,Table4!$A:$A,$B22)*$D22^6+SUMIFS(Table4!$G:$G,Table4!$A:$A,$B22)*$D22^5+SUMIFS(Table4!$H:$H,Table4!$A:$A,$B22)*$D22^4+SUMIFS(Table4!$I:$I,Table4!$A:$A,$B22)*$D22^3+SUMIFS(Table4!$J:$J,Table4!$A:$A,$B22)*$D22^2+SUMIFS(Table4!$K:$K,Table4!$A:$A,$B22)*$D22)+SUMIFS(Table4!$L:$L,Table4!$A:$A,$B22)*LOG10($D22)+SUMIFS(Table4!$M:$M,Table4!$A:$A,$B22)*LOG10($F22)+SUMIFS(Table4!$N:$N,Table4!$A:$A,$B22)*LOG10(AX22)+LOG10(1/$AD22))</f>
        <v>4.3712405763123119</v>
      </c>
      <c r="BH22" s="39">
        <f>(12.552/50)*BD22*10^(SUMIFS(Table5!$B:$B,Table5!$A:$A,$B22)+SUMIFS(Table5!$C:$C,Table5!$A:$A,$B22)*LOG10($E22)+SUMIFS(Table5!$D:$D,Table5!$A:$A,$B22)*AY22/(SUMIFS(Table5!$E:$E,Table5!$A:$A,$B22)*$D22^7+SUMIFS(Table5!$F:$F,Table5!$A:$A,$B22)*$D22^6+SUMIFS(Table5!$G:$G,Table5!$A:$A,$B22)*$D22^5+SUMIFS(Table5!$H:$H,Table5!$A:$A,$B22)*$D22^4+SUMIFS(Table5!$I:$I,Table5!$A:$A,$B22)*$D22^3+SUMIFS(Table5!$J:$J,Table5!$A:$A,$B22)*$D22^2+SUMIFS(Table5!$K:$K,Table5!$A:$A,$B22)*$D22)+SUMIFS(Table5!$L:$L,Table5!$A:$A,$B22)*LOG10($D22)+SUMIFS(Table5!$M:$M,Table5!$A:$A,$B22)*LOG10($F22)+SUMIFS(Table5!$N:$N,Table5!$A:$A,$B22)*LOG10(AY22)+LOG10(1/$AD22))</f>
        <v>5.2645084239552835</v>
      </c>
      <c r="BI22" s="39">
        <f t="shared" si="44"/>
        <v>2.0141405031531661</v>
      </c>
      <c r="BJ22" s="39">
        <f t="shared" si="45"/>
        <v>4.2002875916771911</v>
      </c>
      <c r="BK22" s="39">
        <f t="shared" si="46"/>
        <v>1.8892178123803649</v>
      </c>
      <c r="BL22" s="40">
        <f t="shared" si="47"/>
        <v>1.9412010418753667</v>
      </c>
      <c r="BM22" s="42">
        <f>10^((SUMIFS(Table3!$B:$B,Table3!$A:$A,$B22)+SUMIFS(Table3!$C:$C,Table3!$A:$A,$B22)*LOG10($E22)+(SUMIFS(Table3!$D:$D,Table3!$A:$A,$B22)*$J22)/(SUMIFS(Table3!$E:$E,Table3!$A:$A,$B22)*$D22^7+SUMIFS(Table3!$F:$F,Table3!$A:$A,$B22)*$D22^6+SUMIFS(Table3!$G:$G,Table3!$A:$A,$B22)*$D22^5+SUMIFS(Table3!$H:$H,Table3!$A:$A,$B22)*$D22^4+SUMIFS(Table3!$I:$I,Table3!$A:$A,$B22)*$D22^3+SUMIFS(Table3!$J:$J,Table3!$A:$A,$B22)*$D22^2+SUMIFS(Table3!$K:$K,Table3!$A:$A,$B22)*$D22)+SUMIFS(Table3!$L:$L,Table3!$A:$A,$B22)*LOG10($D22)+SUMIFS(Table3!$N:$N,Table3!$A:$A,$B22)*LOG10(BC22)+LOG10(1/$AD22)-LOG10(20/BD22))/-SUMIFS(Table3!$M:$M,Table3!$A:$A,$B22))</f>
        <v>270.37578869258499</v>
      </c>
      <c r="BN22" s="42">
        <f>10^((SUMIFS(Table3!$B:$B,Table3!$A:$A,$B22)+SUMIFS(Table3!$C:$C,Table3!$A:$A,$B22)*LOG10($E22)+(SUMIFS(Table3!$D:$D,Table3!$A:$A,$B22)*AW22)/(SUMIFS(Table3!$E:$E,Table3!$A:$A,$B22)*$D22^7+SUMIFS(Table3!$F:$F,Table3!$A:$A,$B22)*$D22^6+SUMIFS(Table3!$G:$G,Table3!$A:$A,$B22)*$D22^5+SUMIFS(Table3!$H:$H,Table3!$A:$A,$B22)*$D22^4+SUMIFS(Table3!$I:$I,Table3!$A:$A,$B22)*$D22^3+SUMIFS(Table3!$J:$J,Table3!$A:$A,$B22)*$D22^2+SUMIFS(Table3!$K:$K,Table3!$A:$A,$B22)*$D22)+SUMIFS(Table3!$L:$L,Table3!$A:$A,$B22)*LOG10($D22)+SUMIFS(Table3!$N:$N,Table3!$A:$A,$B22)*LOG10(AW22)+LOG10(1/$AD22)-LOG10(20/BD22))/-SUMIFS(Table3!$M:$M,Table3!$A:$A,$B22))</f>
        <v>285.46230401742878</v>
      </c>
      <c r="BO22" s="42">
        <f>10^((SUMIFS(Table4!$B:$B,Table4!$A:$A,$B22)+SUMIFS(Table4!$C:$C,Table4!$A:$A,$B22)*LOG10($E22)+(SUMIFS(Table4!$D:$D,Table4!$A:$A,$B22)*AX22)/(SUMIFS(Table4!$E:$E,Table4!$A:$A,$B22)*$D22^7+SUMIFS(Table4!$F:$F,Table4!$A:$A,$B22)*$D22^6+SUMIFS(Table4!$G:$G,Table4!$A:$A,$B22)*$D22^5+SUMIFS(Table4!$H:$H,Table4!$A:$A,$B22)*$D22^4+SUMIFS(Table4!$I:$I,Table4!$A:$A,$B22)*$D22^3+SUMIFS(Table4!$J:$J,Table4!$A:$A,$B22)*$D22^2+SUMIFS(Table4!$K:$K,Table4!$A:$A,$B22)*$D22)+SUMIFS(Table4!$L:$L,Table4!$A:$A,$B22)*LOG10($D22)+SUMIFS(Table4!$N:$N,Table4!$A:$A,$B22)*LOG10(AX22)+LOG10(1/$AD22)-LOG10(20/BD22))/-SUMIFS(Table4!$M:$M,Table4!$A:$A,$B22))</f>
        <v>422.24691952547903</v>
      </c>
      <c r="BP22" s="42">
        <f>10^((SUMIFS(Table5!$B:$B,Table5!$A:$A,$B22)+SUMIFS(Table5!$C:$C,Table5!$A:$A,$B22)*LOG10($E22)+(SUMIFS(Table5!$D:$D,Table5!$A:$A,$B22)*AY22)/(SUMIFS(Table5!$E:$E,Table5!$A:$A,$B22)*$D22^7+SUMIFS(Table5!$F:$F,Table5!$A:$A,$B22)*$D22^6+SUMIFS(Table5!$G:$G,Table5!$A:$A,$B22)*$D22^5+SUMIFS(Table5!$H:$H,Table5!$A:$A,$B22)*$D22^4+SUMIFS(Table5!$I:$I,Table5!$A:$A,$B22)*$D22^3+SUMIFS(Table5!$J:$J,Table5!$A:$A,$B22)*$D22^2+SUMIFS(Table5!$K:$K,Table5!$A:$A,$B22)*$D22)+SUMIFS(Table5!$L:$L,Table5!$A:$A,$B22)*LOG10($D22)+SUMIFS(Table5!$N:$N,Table5!$A:$A,$B22)*LOG10(AY22)+LOG10(1/$AD22)-LOG10(20/BD22))/-SUMIFS(Table5!$M:$M,Table5!$A:$A,$B22))</f>
        <v>470.30658499218578</v>
      </c>
      <c r="BQ22" s="42">
        <f t="shared" si="48"/>
        <v>277.64604027411161</v>
      </c>
      <c r="BR22" s="42">
        <f t="shared" si="49"/>
        <v>413.04929389305755</v>
      </c>
      <c r="BS22" s="42">
        <f t="shared" si="50"/>
        <v>269.90871149588611</v>
      </c>
      <c r="BT22" s="43">
        <f t="shared" si="51"/>
        <v>270.37578869258499</v>
      </c>
    </row>
  </sheetData>
  <mergeCells count="23">
    <mergeCell ref="BQ5:BT5"/>
    <mergeCell ref="AU4:AV5"/>
    <mergeCell ref="AM5:AP5"/>
    <mergeCell ref="AQ5:AT5"/>
    <mergeCell ref="AI5:AL5"/>
    <mergeCell ref="AE4:AL4"/>
    <mergeCell ref="AM4:AT4"/>
    <mergeCell ref="BE4:BL4"/>
    <mergeCell ref="BM4:BT4"/>
    <mergeCell ref="AW4:BC4"/>
    <mergeCell ref="BD4:BD5"/>
    <mergeCell ref="AW5:AY5"/>
    <mergeCell ref="A4:I5"/>
    <mergeCell ref="AZ5:BC5"/>
    <mergeCell ref="BE5:BH5"/>
    <mergeCell ref="BI5:BL5"/>
    <mergeCell ref="BM5:BP5"/>
    <mergeCell ref="AE5:AH5"/>
    <mergeCell ref="J5:L5"/>
    <mergeCell ref="M5:P5"/>
    <mergeCell ref="Q4:Q5"/>
    <mergeCell ref="J4:P4"/>
    <mergeCell ref="R4:AD5"/>
  </mergeCells>
  <pageMargins left="0.7" right="0.7" top="0.75" bottom="0.75" header="0.3" footer="0.3"/>
  <pageSetup paperSize="9" scale="27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BA1F1-ED46-0C4D-8C9A-4CE8DAA471B5}">
  <dimension ref="A1:L16"/>
  <sheetViews>
    <sheetView workbookViewId="0">
      <selection activeCell="L39" sqref="L39"/>
    </sheetView>
  </sheetViews>
  <sheetFormatPr baseColWidth="10" defaultRowHeight="16" x14ac:dyDescent="0.2"/>
  <cols>
    <col min="1" max="1" width="5.6640625" style="1" bestFit="1" customWidth="1"/>
    <col min="2" max="2" width="8.33203125" style="3" bestFit="1" customWidth="1"/>
    <col min="3" max="12" width="10.33203125" style="2" customWidth="1"/>
    <col min="13" max="16384" width="10.83203125" style="3"/>
  </cols>
  <sheetData>
    <row r="1" spans="1:12" x14ac:dyDescent="0.2">
      <c r="A1" s="10" t="s">
        <v>17</v>
      </c>
      <c r="B1" s="10" t="s">
        <v>0</v>
      </c>
      <c r="C1" s="10" t="s">
        <v>3</v>
      </c>
      <c r="D1" s="10" t="s">
        <v>4</v>
      </c>
      <c r="E1" s="10" t="s">
        <v>5</v>
      </c>
      <c r="F1" s="10" t="s">
        <v>6</v>
      </c>
      <c r="G1" s="10" t="s">
        <v>7</v>
      </c>
      <c r="H1" s="10" t="s">
        <v>8</v>
      </c>
      <c r="I1" s="10" t="s">
        <v>9</v>
      </c>
      <c r="J1" s="10" t="s">
        <v>10</v>
      </c>
      <c r="K1" s="10" t="s">
        <v>11</v>
      </c>
      <c r="L1" s="10" t="s">
        <v>12</v>
      </c>
    </row>
    <row r="2" spans="1:12" x14ac:dyDescent="0.2">
      <c r="A2" s="11" t="s">
        <v>1</v>
      </c>
      <c r="B2" s="12">
        <v>600</v>
      </c>
      <c r="C2" s="4">
        <v>-4.2869999999999998E-2</v>
      </c>
      <c r="D2" s="4">
        <v>1.0349999999999999</v>
      </c>
      <c r="E2" s="4">
        <v>-8.3000000000000004E-2</v>
      </c>
      <c r="F2" s="4">
        <v>0</v>
      </c>
      <c r="G2" s="4">
        <v>0</v>
      </c>
      <c r="H2" s="4">
        <v>-4.7829999999999997E-9</v>
      </c>
      <c r="I2" s="4">
        <v>1.962E-6</v>
      </c>
      <c r="J2" s="4">
        <v>-2.2900000000000001E-4</v>
      </c>
      <c r="K2" s="4">
        <v>3.1410000000000001E-3</v>
      </c>
      <c r="L2" s="4">
        <v>1.0920000000000001</v>
      </c>
    </row>
    <row r="3" spans="1:12" x14ac:dyDescent="0.2">
      <c r="A3" s="13" t="s">
        <v>1</v>
      </c>
      <c r="B3" s="14">
        <v>2700</v>
      </c>
      <c r="C3" s="5">
        <v>6.4999999999999997E-3</v>
      </c>
      <c r="D3" s="5">
        <v>1.0009999999999999</v>
      </c>
      <c r="E3" s="5">
        <v>-2.4E-2</v>
      </c>
      <c r="F3" s="5">
        <v>-1.5569999999999999E-12</v>
      </c>
      <c r="G3" s="5">
        <v>4.5560000000000001E-10</v>
      </c>
      <c r="H3" s="5">
        <v>-4.1859999999999999E-8</v>
      </c>
      <c r="I3" s="5">
        <v>8.3460000000000002E-7</v>
      </c>
      <c r="J3" s="5">
        <v>5.482E-5</v>
      </c>
      <c r="K3" s="5">
        <v>-3.1909999999999998E-3</v>
      </c>
      <c r="L3" s="5">
        <v>0.97289999999999999</v>
      </c>
    </row>
    <row r="4" spans="1:12" x14ac:dyDescent="0.2">
      <c r="A4" s="15" t="s">
        <v>1</v>
      </c>
      <c r="B4" s="16">
        <v>14300</v>
      </c>
      <c r="C4" s="6">
        <v>5.7949999999999998E-3</v>
      </c>
      <c r="D4" s="6">
        <v>1.0149999999999999</v>
      </c>
      <c r="E4" s="6">
        <v>-1.0999999999999999E-2</v>
      </c>
      <c r="F4" s="6">
        <v>-1.5569999999999999E-12</v>
      </c>
      <c r="G4" s="6">
        <v>4.5560000000000001E-10</v>
      </c>
      <c r="H4" s="6">
        <v>-4.1859999999999999E-8</v>
      </c>
      <c r="I4" s="6">
        <v>8.3460000000000002E-7</v>
      </c>
      <c r="J4" s="6">
        <v>5.482E-5</v>
      </c>
      <c r="K4" s="6">
        <v>-3.1909999999999998E-3</v>
      </c>
      <c r="L4" s="6">
        <v>0.97289999999999999</v>
      </c>
    </row>
    <row r="5" spans="1:12" x14ac:dyDescent="0.2">
      <c r="A5" s="11" t="s">
        <v>13</v>
      </c>
      <c r="B5" s="12">
        <v>600</v>
      </c>
      <c r="C5" s="4">
        <v>-1.7432E-2</v>
      </c>
      <c r="D5" s="4">
        <v>0.98</v>
      </c>
      <c r="E5" s="4">
        <v>-0.05</v>
      </c>
      <c r="F5" s="4">
        <v>0</v>
      </c>
      <c r="G5" s="4">
        <v>0</v>
      </c>
      <c r="H5" s="4">
        <v>-5.7669999999999996E-9</v>
      </c>
      <c r="I5" s="4">
        <v>2.5239999999999999E-6</v>
      </c>
      <c r="J5" s="4">
        <v>-3.4000000000000002E-4</v>
      </c>
      <c r="K5" s="4">
        <v>1.187E-2</v>
      </c>
      <c r="L5" s="4">
        <v>1.0129999999999999</v>
      </c>
    </row>
    <row r="6" spans="1:12" x14ac:dyDescent="0.2">
      <c r="A6" s="13" t="s">
        <v>13</v>
      </c>
      <c r="B6" s="14">
        <v>2700</v>
      </c>
      <c r="C6" s="5">
        <v>2.823E-3</v>
      </c>
      <c r="D6" s="5">
        <v>0.995</v>
      </c>
      <c r="E6" s="5">
        <v>-1.2500000000000001E-2</v>
      </c>
      <c r="F6" s="5">
        <v>0</v>
      </c>
      <c r="G6" s="5">
        <v>-9.204E-11</v>
      </c>
      <c r="H6" s="5">
        <v>2.901E-8</v>
      </c>
      <c r="I6" s="5">
        <v>-3.2619999999999999E-6</v>
      </c>
      <c r="J6" s="5">
        <v>1.5689999999999999E-4</v>
      </c>
      <c r="K6" s="5">
        <v>-4.0029999999999996E-3</v>
      </c>
      <c r="L6" s="5">
        <v>0.98250000000000004</v>
      </c>
    </row>
    <row r="7" spans="1:12" x14ac:dyDescent="0.2">
      <c r="A7" s="15" t="s">
        <v>13</v>
      </c>
      <c r="B7" s="16">
        <v>14300</v>
      </c>
      <c r="C7" s="6">
        <v>1.4827E-2</v>
      </c>
      <c r="D7" s="6">
        <v>1.01</v>
      </c>
      <c r="E7" s="6">
        <v>-0.01</v>
      </c>
      <c r="F7" s="6">
        <v>0</v>
      </c>
      <c r="G7" s="6">
        <v>-9.204E-11</v>
      </c>
      <c r="H7" s="6">
        <v>2.901E-8</v>
      </c>
      <c r="I7" s="6">
        <v>-3.2619999999999999E-6</v>
      </c>
      <c r="J7" s="6">
        <v>1.5689999999999999E-4</v>
      </c>
      <c r="K7" s="6">
        <v>-4.0029999999999996E-3</v>
      </c>
      <c r="L7" s="6">
        <v>0.98250000000000004</v>
      </c>
    </row>
    <row r="8" spans="1:12" x14ac:dyDescent="0.2">
      <c r="A8" s="11" t="s">
        <v>14</v>
      </c>
      <c r="B8" s="12">
        <v>600</v>
      </c>
      <c r="C8" s="4">
        <v>5.4921999999999999E-2</v>
      </c>
      <c r="D8" s="4">
        <v>0.98799999999999999</v>
      </c>
      <c r="E8" s="4">
        <v>-0.11</v>
      </c>
      <c r="F8" s="4">
        <v>0</v>
      </c>
      <c r="G8" s="4">
        <v>0</v>
      </c>
      <c r="H8" s="4">
        <v>-5.3819999999999998E-9</v>
      </c>
      <c r="I8" s="4">
        <v>2.3159999999999999E-6</v>
      </c>
      <c r="J8" s="4">
        <v>-3.0200000000000002E-4</v>
      </c>
      <c r="K8" s="4">
        <v>9.1000000000000004E-3</v>
      </c>
      <c r="L8" s="4">
        <v>0.97250000000000003</v>
      </c>
    </row>
    <row r="9" spans="1:12" x14ac:dyDescent="0.2">
      <c r="A9" s="13" t="s">
        <v>14</v>
      </c>
      <c r="B9" s="14">
        <v>2700</v>
      </c>
      <c r="C9" s="5">
        <v>1.011E-3</v>
      </c>
      <c r="D9" s="5">
        <v>1.0029999999999999</v>
      </c>
      <c r="E9" s="5">
        <v>-2.4899999999999999E-2</v>
      </c>
      <c r="F9" s="5">
        <v>0</v>
      </c>
      <c r="G9" s="5">
        <v>0</v>
      </c>
      <c r="H9" s="5">
        <v>4.8590000000000005E-10</v>
      </c>
      <c r="I9" s="5">
        <v>-1.814E-7</v>
      </c>
      <c r="J9" s="5">
        <v>-9.1279999999999997E-6</v>
      </c>
      <c r="K9" s="5">
        <v>-6.9999999999999999E-4</v>
      </c>
      <c r="L9" s="5">
        <v>0.98809999999999998</v>
      </c>
    </row>
    <row r="10" spans="1:12" x14ac:dyDescent="0.2">
      <c r="A10" s="15" t="s">
        <v>14</v>
      </c>
      <c r="B10" s="16">
        <v>14300</v>
      </c>
      <c r="C10" s="6">
        <v>8.6929999999999993E-3</v>
      </c>
      <c r="D10" s="6">
        <v>0.999</v>
      </c>
      <c r="E10" s="6">
        <v>-0.02</v>
      </c>
      <c r="F10" s="6">
        <v>0</v>
      </c>
      <c r="G10" s="6">
        <v>-5.0430000000000001E-11</v>
      </c>
      <c r="H10" s="6">
        <v>2.2329999999999999E-8</v>
      </c>
      <c r="I10" s="6">
        <v>-3.0460000000000001E-6</v>
      </c>
      <c r="J10" s="6">
        <v>1.16E-4</v>
      </c>
      <c r="K10" s="6">
        <v>-1.145E-3</v>
      </c>
      <c r="L10" s="6">
        <v>0.9839</v>
      </c>
    </row>
    <row r="11" spans="1:12" x14ac:dyDescent="0.2">
      <c r="A11" s="11" t="s">
        <v>15</v>
      </c>
      <c r="B11" s="12">
        <v>600</v>
      </c>
      <c r="C11" s="4">
        <v>4.3784999999999998E-2</v>
      </c>
      <c r="D11" s="4">
        <v>1.04</v>
      </c>
      <c r="E11" s="4">
        <v>-0.18</v>
      </c>
      <c r="F11" s="4">
        <v>0</v>
      </c>
      <c r="G11" s="4">
        <v>0</v>
      </c>
      <c r="H11" s="4">
        <v>-4.7829999999999997E-9</v>
      </c>
      <c r="I11" s="4">
        <v>1.962E-6</v>
      </c>
      <c r="J11" s="4">
        <v>-2.2900000000000001E-4</v>
      </c>
      <c r="K11" s="4">
        <v>3.1410000000000001E-3</v>
      </c>
      <c r="L11" s="4">
        <v>1.0920000000000001</v>
      </c>
    </row>
    <row r="12" spans="1:12" x14ac:dyDescent="0.2">
      <c r="A12" s="13" t="s">
        <v>15</v>
      </c>
      <c r="B12" s="14">
        <v>2700</v>
      </c>
      <c r="C12" s="5">
        <v>-2.3949999999999999E-2</v>
      </c>
      <c r="D12" s="5">
        <v>1.006</v>
      </c>
      <c r="E12" s="5">
        <v>-1.8800000000000001E-2</v>
      </c>
      <c r="F12" s="5">
        <v>-1.5569999999999999E-12</v>
      </c>
      <c r="G12" s="5">
        <v>4.5560000000000001E-10</v>
      </c>
      <c r="H12" s="5">
        <v>-4.1859999999999999E-8</v>
      </c>
      <c r="I12" s="5">
        <v>8.3460000000000002E-7</v>
      </c>
      <c r="J12" s="5">
        <v>5.482E-5</v>
      </c>
      <c r="K12" s="5">
        <v>-3.1909999999999998E-3</v>
      </c>
      <c r="L12" s="5">
        <v>0.97289999999999999</v>
      </c>
    </row>
    <row r="13" spans="1:12" x14ac:dyDescent="0.2">
      <c r="A13" s="15" t="s">
        <v>15</v>
      </c>
      <c r="B13" s="16">
        <v>14300</v>
      </c>
      <c r="C13" s="6">
        <v>5.3709999999999999E-3</v>
      </c>
      <c r="D13" s="6">
        <v>1.0102</v>
      </c>
      <c r="E13" s="6">
        <v>-2.9000000000000001E-2</v>
      </c>
      <c r="F13" s="6">
        <v>-1.5569999999999999E-12</v>
      </c>
      <c r="G13" s="6">
        <v>4.5560000000000001E-10</v>
      </c>
      <c r="H13" s="6">
        <v>-4.1859999999999999E-8</v>
      </c>
      <c r="I13" s="6">
        <v>8.3460000000000002E-7</v>
      </c>
      <c r="J13" s="6">
        <v>5.482E-5</v>
      </c>
      <c r="K13" s="6">
        <v>-3.1909999999999998E-3</v>
      </c>
      <c r="L13" s="6">
        <v>0.97289999999999999</v>
      </c>
    </row>
    <row r="14" spans="1:12" x14ac:dyDescent="0.2">
      <c r="A14" s="11" t="s">
        <v>16</v>
      </c>
      <c r="B14" s="12">
        <v>600</v>
      </c>
      <c r="C14" s="4">
        <v>0.111147</v>
      </c>
      <c r="D14" s="4">
        <v>1.008</v>
      </c>
      <c r="E14" s="4">
        <v>-0.24</v>
      </c>
      <c r="F14" s="4">
        <v>0</v>
      </c>
      <c r="G14" s="4">
        <v>0</v>
      </c>
      <c r="H14" s="4">
        <v>-3.8950000000000003E-9</v>
      </c>
      <c r="I14" s="4">
        <v>1.641E-6</v>
      </c>
      <c r="J14" s="4">
        <v>-1.9699999999999999E-4</v>
      </c>
      <c r="K14" s="4">
        <v>2.6150000000000001E-3</v>
      </c>
      <c r="L14" s="4">
        <v>1.1000000000000001</v>
      </c>
    </row>
    <row r="15" spans="1:12" x14ac:dyDescent="0.2">
      <c r="A15" s="13" t="s">
        <v>16</v>
      </c>
      <c r="B15" s="14">
        <v>2700</v>
      </c>
      <c r="C15" s="5">
        <v>4.35E-4</v>
      </c>
      <c r="D15" s="5">
        <v>1.006</v>
      </c>
      <c r="E15" s="5">
        <v>-3.7999999999999999E-2</v>
      </c>
      <c r="F15" s="5">
        <v>0</v>
      </c>
      <c r="G15" s="5">
        <v>0</v>
      </c>
      <c r="H15" s="5">
        <v>7.8590000000000005E-10</v>
      </c>
      <c r="I15" s="5">
        <v>-1.9140000000000001E-7</v>
      </c>
      <c r="J15" s="5">
        <v>-9.1279999999999997E-6</v>
      </c>
      <c r="K15" s="5">
        <v>-6.9999999999999999E-4</v>
      </c>
      <c r="L15" s="5">
        <v>0.99809999999999999</v>
      </c>
    </row>
    <row r="16" spans="1:12" x14ac:dyDescent="0.2">
      <c r="A16" s="15" t="s">
        <v>16</v>
      </c>
      <c r="B16" s="16">
        <v>14300</v>
      </c>
      <c r="C16" s="6">
        <v>9.0399999999999996E-4</v>
      </c>
      <c r="D16" s="6">
        <v>0.999</v>
      </c>
      <c r="E16" s="6">
        <v>-0.02</v>
      </c>
      <c r="F16" s="6">
        <v>0</v>
      </c>
      <c r="G16" s="6">
        <v>0</v>
      </c>
      <c r="H16" s="6">
        <v>7.8590000000000005E-10</v>
      </c>
      <c r="I16" s="6">
        <v>-1.9140000000000001E-7</v>
      </c>
      <c r="J16" s="6">
        <v>-9.1279999999999997E-6</v>
      </c>
      <c r="K16" s="6">
        <v>-6.9999999999999999E-4</v>
      </c>
      <c r="L16" s="6">
        <v>0.99809999999999999</v>
      </c>
    </row>
  </sheetData>
  <phoneticPr fontId="2" type="noConversion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6F53F-7A54-9F48-A514-F8AE8E22A5C1}">
  <dimension ref="A1:K6"/>
  <sheetViews>
    <sheetView workbookViewId="0"/>
  </sheetViews>
  <sheetFormatPr baseColWidth="10" defaultRowHeight="16" x14ac:dyDescent="0.2"/>
  <cols>
    <col min="1" max="1" width="5.6640625" style="1" bestFit="1" customWidth="1"/>
    <col min="2" max="11" width="10.33203125" style="2" customWidth="1"/>
    <col min="12" max="16384" width="10.83203125" style="3"/>
  </cols>
  <sheetData>
    <row r="1" spans="1:8" x14ac:dyDescent="0.2">
      <c r="A1" s="9" t="s">
        <v>17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8</v>
      </c>
      <c r="H1" s="9" t="s">
        <v>9</v>
      </c>
    </row>
    <row r="2" spans="1:8" x14ac:dyDescent="0.2">
      <c r="A2" s="7" t="s">
        <v>1</v>
      </c>
      <c r="B2" s="8">
        <v>0</v>
      </c>
      <c r="C2" s="8">
        <v>-1.4269000000000001E-6</v>
      </c>
      <c r="D2" s="8">
        <v>8.3137E-5</v>
      </c>
      <c r="E2" s="8">
        <v>-1.9381999999999999E-3</v>
      </c>
      <c r="F2" s="8">
        <v>2.2366E-2</v>
      </c>
      <c r="G2" s="8">
        <v>-0.12645000000000001</v>
      </c>
      <c r="H2" s="8">
        <v>0.30225999999999997</v>
      </c>
    </row>
    <row r="3" spans="1:8" x14ac:dyDescent="0.2">
      <c r="A3" s="7" t="s">
        <v>13</v>
      </c>
      <c r="B3" s="8">
        <v>1.1379999999999999E-6</v>
      </c>
      <c r="C3" s="8">
        <v>-6.0287000000000001E-5</v>
      </c>
      <c r="D3" s="8">
        <v>1.2757999999999999E-3</v>
      </c>
      <c r="E3" s="8">
        <v>-1.3778E-2</v>
      </c>
      <c r="F3" s="8">
        <v>8.0216999999999997E-2</v>
      </c>
      <c r="G3" s="8">
        <v>-0.24066000000000001</v>
      </c>
      <c r="H3" s="8">
        <v>0.33523999999999998</v>
      </c>
    </row>
    <row r="4" spans="1:8" x14ac:dyDescent="0.2">
      <c r="A4" s="7" t="s">
        <v>14</v>
      </c>
      <c r="B4" s="8">
        <v>0</v>
      </c>
      <c r="C4" s="8">
        <v>-3.0970000000000002E-6</v>
      </c>
      <c r="D4" s="8">
        <v>1.6405E-4</v>
      </c>
      <c r="E4" s="8">
        <v>-3.3609E-3</v>
      </c>
      <c r="F4" s="8">
        <v>3.3307999999999997E-2</v>
      </c>
      <c r="G4" s="8">
        <v>-0.16181999999999999</v>
      </c>
      <c r="H4" s="8">
        <v>0.34627000000000002</v>
      </c>
    </row>
    <row r="5" spans="1:8" x14ac:dyDescent="0.2">
      <c r="A5" s="7" t="s">
        <v>15</v>
      </c>
      <c r="B5" s="8">
        <v>9.5606E-7</v>
      </c>
      <c r="C5" s="8">
        <v>-5.1542999999999998E-5</v>
      </c>
      <c r="D5" s="8">
        <v>1.1161000000000001E-3</v>
      </c>
      <c r="E5" s="8">
        <v>-1.242E-2</v>
      </c>
      <c r="F5" s="8">
        <v>7.5124999999999997E-2</v>
      </c>
      <c r="G5" s="8">
        <v>-0.23583999999999999</v>
      </c>
      <c r="H5" s="8">
        <v>0.33695999999999998</v>
      </c>
    </row>
    <row r="6" spans="1:8" x14ac:dyDescent="0.2">
      <c r="A6" s="7" t="s">
        <v>16</v>
      </c>
      <c r="B6" s="8">
        <v>0</v>
      </c>
      <c r="C6" s="8">
        <v>-3.1555000000000001E-6</v>
      </c>
      <c r="D6" s="8">
        <v>1.682E-4</v>
      </c>
      <c r="E6" s="8">
        <v>-3.4607000000000001E-3</v>
      </c>
      <c r="F6" s="8">
        <v>3.4124000000000002E-2</v>
      </c>
      <c r="G6" s="8">
        <v>-0.15989999999999999</v>
      </c>
      <c r="H6" s="8">
        <v>0.34628999999999999</v>
      </c>
    </row>
  </sheetData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B0515-2EFB-E549-938A-0B5CC5D619DD}">
  <dimension ref="A1:N6"/>
  <sheetViews>
    <sheetView workbookViewId="0"/>
  </sheetViews>
  <sheetFormatPr baseColWidth="10" defaultRowHeight="16" x14ac:dyDescent="0.2"/>
  <cols>
    <col min="1" max="1" width="8.5" style="1" bestFit="1" customWidth="1"/>
    <col min="2" max="11" width="10.33203125" style="2" customWidth="1"/>
    <col min="12" max="14" width="10.33203125" style="3" customWidth="1"/>
    <col min="15" max="16384" width="10.83203125" style="3"/>
  </cols>
  <sheetData>
    <row r="1" spans="1:14" x14ac:dyDescent="0.2">
      <c r="A1" s="30">
        <v>600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8</v>
      </c>
      <c r="H1" s="9" t="s">
        <v>9</v>
      </c>
      <c r="I1" s="9" t="s">
        <v>10</v>
      </c>
      <c r="J1" s="9" t="s">
        <v>11</v>
      </c>
      <c r="K1" s="9" t="s">
        <v>12</v>
      </c>
      <c r="L1" s="9" t="s">
        <v>69</v>
      </c>
      <c r="M1" s="9" t="s">
        <v>70</v>
      </c>
      <c r="N1" s="9" t="s">
        <v>71</v>
      </c>
    </row>
    <row r="2" spans="1:14" x14ac:dyDescent="0.2">
      <c r="A2" s="7" t="s">
        <v>1</v>
      </c>
      <c r="B2" s="8">
        <v>0.75336400000000003</v>
      </c>
      <c r="C2" s="8">
        <v>0.56599999999999995</v>
      </c>
      <c r="D2" s="8">
        <v>1.7526360000000001</v>
      </c>
      <c r="E2" s="8">
        <v>0</v>
      </c>
      <c r="F2" s="8">
        <v>0</v>
      </c>
      <c r="G2" s="8">
        <v>-4.7829999999999997E-9</v>
      </c>
      <c r="H2" s="8">
        <v>1.962E-6</v>
      </c>
      <c r="I2" s="8">
        <v>-2.2900000000000001E-4</v>
      </c>
      <c r="J2" s="8">
        <v>3.1410000000000001E-3</v>
      </c>
      <c r="K2" s="8">
        <v>1.0920000000000001</v>
      </c>
      <c r="L2" s="8">
        <v>0</v>
      </c>
      <c r="M2" s="8">
        <v>-1.5980000000000001</v>
      </c>
      <c r="N2" s="8">
        <v>0.95699999999999996</v>
      </c>
    </row>
    <row r="3" spans="1:14" x14ac:dyDescent="0.2">
      <c r="A3" s="7" t="s">
        <v>13</v>
      </c>
      <c r="B3" s="8">
        <v>3.0684589999999998</v>
      </c>
      <c r="C3" s="8">
        <v>0.26</v>
      </c>
      <c r="D3" s="8">
        <v>-9.8107E-2</v>
      </c>
      <c r="E3" s="8">
        <v>0</v>
      </c>
      <c r="F3" s="8">
        <v>0</v>
      </c>
      <c r="G3" s="8">
        <v>-5.7669999999999996E-9</v>
      </c>
      <c r="H3" s="8">
        <v>2.5239999999999999E-6</v>
      </c>
      <c r="I3" s="8">
        <v>-3.4000000000000002E-4</v>
      </c>
      <c r="J3" s="8">
        <v>1.187E-2</v>
      </c>
      <c r="K3" s="8">
        <v>1.0129999999999999</v>
      </c>
      <c r="L3" s="8">
        <v>-0.06</v>
      </c>
      <c r="M3" s="8">
        <v>-1.8089999999999999</v>
      </c>
      <c r="N3" s="8">
        <v>1.19</v>
      </c>
    </row>
    <row r="4" spans="1:14" x14ac:dyDescent="0.2">
      <c r="A4" s="7" t="s">
        <v>14</v>
      </c>
      <c r="B4" s="8">
        <v>4.0737449999999997</v>
      </c>
      <c r="C4" s="8">
        <v>0.34399999999999997</v>
      </c>
      <c r="D4" s="8">
        <v>-0.370259</v>
      </c>
      <c r="E4" s="8">
        <v>0</v>
      </c>
      <c r="F4" s="8">
        <v>0</v>
      </c>
      <c r="G4" s="8">
        <v>-5.3819999999999998E-9</v>
      </c>
      <c r="H4" s="8">
        <v>2.3159999999999999E-6</v>
      </c>
      <c r="I4" s="8">
        <v>-3.0200000000000002E-4</v>
      </c>
      <c r="J4" s="8">
        <v>9.1000000000000004E-3</v>
      </c>
      <c r="K4" s="8">
        <v>0.97250000000000003</v>
      </c>
      <c r="L4" s="8">
        <v>0</v>
      </c>
      <c r="M4" s="8">
        <v>-2.0299999999999998</v>
      </c>
      <c r="N4" s="8">
        <v>1.036</v>
      </c>
    </row>
    <row r="5" spans="1:14" x14ac:dyDescent="0.2">
      <c r="A5" s="7" t="s">
        <v>15</v>
      </c>
      <c r="B5" s="8">
        <v>0.67929399999999995</v>
      </c>
      <c r="C5" s="8">
        <v>0.746</v>
      </c>
      <c r="D5" s="8">
        <v>1.2226360000000001</v>
      </c>
      <c r="E5" s="8">
        <v>0</v>
      </c>
      <c r="F5" s="8">
        <v>0</v>
      </c>
      <c r="G5" s="8">
        <v>-4.7829999999999997E-9</v>
      </c>
      <c r="H5" s="8">
        <v>1.962E-6</v>
      </c>
      <c r="I5" s="8">
        <v>-2.2900000000000001E-4</v>
      </c>
      <c r="J5" s="8">
        <v>3.1410000000000001E-3</v>
      </c>
      <c r="K5" s="8">
        <v>1.0920000000000001</v>
      </c>
      <c r="L5" s="8">
        <v>0</v>
      </c>
      <c r="M5" s="8">
        <v>-1.5980000000000001</v>
      </c>
      <c r="N5" s="8">
        <v>0.997</v>
      </c>
    </row>
    <row r="6" spans="1:14" x14ac:dyDescent="0.2">
      <c r="A6" s="7" t="s">
        <v>16</v>
      </c>
      <c r="B6" s="8">
        <v>3.4704169999999999</v>
      </c>
      <c r="C6" s="8">
        <v>0.46500000000000002</v>
      </c>
      <c r="D6" s="8">
        <v>-0.26186300000000001</v>
      </c>
      <c r="E6" s="8">
        <v>0</v>
      </c>
      <c r="F6" s="8">
        <v>0</v>
      </c>
      <c r="G6" s="8">
        <v>-3.8950000000000003E-9</v>
      </c>
      <c r="H6" s="8">
        <v>1.641E-6</v>
      </c>
      <c r="I6" s="8">
        <v>-1.9699999999999999E-4</v>
      </c>
      <c r="J6" s="8">
        <v>2.6150000000000001E-3</v>
      </c>
      <c r="K6" s="8">
        <v>1.1000000000000001</v>
      </c>
      <c r="L6" s="8">
        <v>0</v>
      </c>
      <c r="M6" s="8">
        <v>-1.99</v>
      </c>
      <c r="N6" s="8">
        <v>1.04</v>
      </c>
    </row>
  </sheetData>
  <phoneticPr fontId="2" type="noConversion"/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1DAEF-6178-324B-9923-01B330D8FE84}">
  <dimension ref="A1:N6"/>
  <sheetViews>
    <sheetView workbookViewId="0"/>
  </sheetViews>
  <sheetFormatPr baseColWidth="10" defaultRowHeight="16" x14ac:dyDescent="0.2"/>
  <cols>
    <col min="1" max="1" width="8.5" style="1" bestFit="1" customWidth="1"/>
    <col min="2" max="11" width="10.33203125" style="2" customWidth="1"/>
    <col min="12" max="14" width="10.33203125" style="3" customWidth="1"/>
    <col min="15" max="16384" width="10.83203125" style="3"/>
  </cols>
  <sheetData>
    <row r="1" spans="1:14" x14ac:dyDescent="0.2">
      <c r="A1" s="30">
        <v>2700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8</v>
      </c>
      <c r="H1" s="9" t="s">
        <v>9</v>
      </c>
      <c r="I1" s="9" t="s">
        <v>10</v>
      </c>
      <c r="J1" s="9" t="s">
        <v>11</v>
      </c>
      <c r="K1" s="9" t="s">
        <v>12</v>
      </c>
      <c r="L1" s="9" t="s">
        <v>69</v>
      </c>
      <c r="M1" s="9" t="s">
        <v>70</v>
      </c>
      <c r="N1" s="9" t="s">
        <v>71</v>
      </c>
    </row>
    <row r="2" spans="1:14" x14ac:dyDescent="0.2">
      <c r="A2" s="7" t="s">
        <v>1</v>
      </c>
      <c r="B2" s="8">
        <v>2.40021</v>
      </c>
      <c r="C2" s="8">
        <v>0.16500000000000001</v>
      </c>
      <c r="D2" s="8">
        <v>0.35420200000000002</v>
      </c>
      <c r="E2" s="8">
        <v>-1.5569999999999999E-12</v>
      </c>
      <c r="F2" s="8">
        <v>4.5560000000000001E-10</v>
      </c>
      <c r="G2" s="8">
        <v>-4.1859999999999999E-8</v>
      </c>
      <c r="H2" s="8">
        <v>8.3460000000000002E-7</v>
      </c>
      <c r="I2" s="8">
        <v>5.482E-5</v>
      </c>
      <c r="J2" s="8">
        <v>-3.1909999999999998E-3</v>
      </c>
      <c r="K2" s="8">
        <v>0.97289999999999999</v>
      </c>
      <c r="L2" s="8">
        <v>0</v>
      </c>
      <c r="M2" s="8">
        <v>-1.569</v>
      </c>
      <c r="N2" s="8">
        <v>0.9778</v>
      </c>
    </row>
    <row r="3" spans="1:14" x14ac:dyDescent="0.2">
      <c r="A3" s="7" t="s">
        <v>13</v>
      </c>
      <c r="B3" s="8">
        <v>3.8705919999999998</v>
      </c>
      <c r="C3" s="8">
        <v>0.185</v>
      </c>
      <c r="D3" s="8">
        <v>-0.73661799999999999</v>
      </c>
      <c r="E3" s="8">
        <v>0</v>
      </c>
      <c r="F3" s="8">
        <v>-9.204E-11</v>
      </c>
      <c r="G3" s="8">
        <v>2.901E-8</v>
      </c>
      <c r="H3" s="8">
        <v>-3.2619999999999999E-6</v>
      </c>
      <c r="I3" s="8">
        <v>1.5689999999999999E-4</v>
      </c>
      <c r="J3" s="8">
        <v>-4.0029999999999996E-3</v>
      </c>
      <c r="K3" s="8">
        <v>0.98250000000000004</v>
      </c>
      <c r="L3" s="8">
        <v>0</v>
      </c>
      <c r="M3" s="8">
        <v>-1.742</v>
      </c>
      <c r="N3" s="8">
        <v>1.0900000000000001</v>
      </c>
    </row>
    <row r="4" spans="1:14" x14ac:dyDescent="0.2">
      <c r="A4" s="7" t="s">
        <v>14</v>
      </c>
      <c r="B4" s="8">
        <v>3.4863909999999998</v>
      </c>
      <c r="C4" s="8">
        <v>0.17699999999999999</v>
      </c>
      <c r="D4" s="8">
        <v>-0.19310099999999999</v>
      </c>
      <c r="E4" s="8">
        <v>0</v>
      </c>
      <c r="F4" s="8">
        <v>0</v>
      </c>
      <c r="G4" s="8">
        <v>4.8590000000000005E-10</v>
      </c>
      <c r="H4" s="8">
        <v>-1.814E-7</v>
      </c>
      <c r="I4" s="8">
        <v>-9.1279999999999997E-6</v>
      </c>
      <c r="J4" s="8">
        <v>-6.9999999999999999E-4</v>
      </c>
      <c r="K4" s="8">
        <v>0.98809999999999998</v>
      </c>
      <c r="L4" s="8">
        <v>2.7E-2</v>
      </c>
      <c r="M4" s="8">
        <v>-1.7230000000000001</v>
      </c>
      <c r="N4" s="8">
        <v>1.0549999999999999</v>
      </c>
    </row>
    <row r="5" spans="1:14" x14ac:dyDescent="0.2">
      <c r="A5" s="7" t="s">
        <v>15</v>
      </c>
      <c r="B5" s="8">
        <v>3.8807239999999998</v>
      </c>
      <c r="C5" s="8">
        <v>0.105</v>
      </c>
      <c r="D5" s="8">
        <v>-1.9060330000000001</v>
      </c>
      <c r="E5" s="8">
        <v>-1.5569999999999999E-12</v>
      </c>
      <c r="F5" s="8">
        <v>4.5560000000000001E-10</v>
      </c>
      <c r="G5" s="8">
        <v>-4.1859999999999999E-8</v>
      </c>
      <c r="H5" s="8">
        <v>8.3460000000000002E-7</v>
      </c>
      <c r="I5" s="8">
        <v>5.482E-5</v>
      </c>
      <c r="J5" s="8">
        <v>-3.1909999999999998E-3</v>
      </c>
      <c r="K5" s="8">
        <v>0.97289999999999999</v>
      </c>
      <c r="L5" s="8">
        <v>0</v>
      </c>
      <c r="M5" s="8">
        <v>-1.5149999999999999</v>
      </c>
      <c r="N5" s="8">
        <v>1.115</v>
      </c>
    </row>
    <row r="6" spans="1:14" x14ac:dyDescent="0.2">
      <c r="A6" s="7" t="s">
        <v>16</v>
      </c>
      <c r="B6" s="8">
        <v>3.616266</v>
      </c>
      <c r="C6" s="8">
        <v>0.14899999999999999</v>
      </c>
      <c r="D6" s="8">
        <v>-0.76156100000000004</v>
      </c>
      <c r="E6" s="8">
        <v>0</v>
      </c>
      <c r="F6" s="8">
        <v>0</v>
      </c>
      <c r="G6" s="8">
        <v>7.8590000000000005E-10</v>
      </c>
      <c r="H6" s="8">
        <v>-1.9140000000000001E-7</v>
      </c>
      <c r="I6" s="8">
        <v>-9.1279999999999997E-6</v>
      </c>
      <c r="J6" s="8">
        <v>-6.9999999999999999E-4</v>
      </c>
      <c r="K6" s="8">
        <v>0.99809999999999999</v>
      </c>
      <c r="L6" s="8">
        <v>0</v>
      </c>
      <c r="M6" s="8">
        <v>-1.639</v>
      </c>
      <c r="N6" s="8">
        <v>1.0780000000000001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31DE3-76DA-AE46-AA27-B9E9CF256C53}">
  <dimension ref="A1:N6"/>
  <sheetViews>
    <sheetView workbookViewId="0"/>
  </sheetViews>
  <sheetFormatPr baseColWidth="10" defaultRowHeight="16" x14ac:dyDescent="0.2"/>
  <cols>
    <col min="1" max="1" width="8.5" style="1" bestFit="1" customWidth="1"/>
    <col min="2" max="11" width="10.33203125" style="2" customWidth="1"/>
    <col min="12" max="14" width="10.33203125" style="3" customWidth="1"/>
    <col min="15" max="16384" width="10.83203125" style="3"/>
  </cols>
  <sheetData>
    <row r="1" spans="1:14" x14ac:dyDescent="0.2">
      <c r="A1" s="30">
        <v>14300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8</v>
      </c>
      <c r="H1" s="9" t="s">
        <v>9</v>
      </c>
      <c r="I1" s="9" t="s">
        <v>10</v>
      </c>
      <c r="J1" s="9" t="s">
        <v>11</v>
      </c>
      <c r="K1" s="9" t="s">
        <v>12</v>
      </c>
      <c r="L1" s="9" t="s">
        <v>69</v>
      </c>
      <c r="M1" s="9" t="s">
        <v>70</v>
      </c>
      <c r="N1" s="9" t="s">
        <v>71</v>
      </c>
    </row>
    <row r="2" spans="1:14" x14ac:dyDescent="0.2">
      <c r="A2" s="7" t="s">
        <v>1</v>
      </c>
      <c r="B2" s="8">
        <v>3.825917</v>
      </c>
      <c r="C2" s="8">
        <v>0.11</v>
      </c>
      <c r="D2" s="8">
        <v>-0.999749</v>
      </c>
      <c r="E2" s="8">
        <v>-1.5569999999999999E-12</v>
      </c>
      <c r="F2" s="8">
        <v>4.5560000000000001E-10</v>
      </c>
      <c r="G2" s="8">
        <v>-4.1859999999999999E-8</v>
      </c>
      <c r="H2" s="8">
        <v>8.3460000000000002E-7</v>
      </c>
      <c r="I2" s="8">
        <v>5.482E-5</v>
      </c>
      <c r="J2" s="8">
        <v>-3.1909999999999998E-3</v>
      </c>
      <c r="K2" s="8">
        <v>0.97289999999999999</v>
      </c>
      <c r="L2" s="8">
        <v>0</v>
      </c>
      <c r="M2" s="8">
        <v>-1.5680000000000001</v>
      </c>
      <c r="N2" s="8">
        <v>0.99</v>
      </c>
    </row>
    <row r="3" spans="1:14" x14ac:dyDescent="0.2">
      <c r="A3" s="7" t="s">
        <v>13</v>
      </c>
      <c r="B3" s="8">
        <v>3.6443089999999998</v>
      </c>
      <c r="C3" s="8">
        <v>0.215</v>
      </c>
      <c r="D3" s="8">
        <v>-0.58552199999999999</v>
      </c>
      <c r="E3" s="8">
        <v>0</v>
      </c>
      <c r="F3" s="8">
        <v>-9.204E-11</v>
      </c>
      <c r="G3" s="8">
        <v>2.901E-8</v>
      </c>
      <c r="H3" s="8">
        <v>-3.2619999999999999E-6</v>
      </c>
      <c r="I3" s="8">
        <v>1.5689999999999999E-4</v>
      </c>
      <c r="J3" s="8">
        <v>-4.0029999999999996E-3</v>
      </c>
      <c r="K3" s="8">
        <v>0.98250000000000004</v>
      </c>
      <c r="L3" s="8">
        <v>0</v>
      </c>
      <c r="M3" s="8">
        <v>-1.677</v>
      </c>
      <c r="N3" s="8">
        <v>1.06</v>
      </c>
    </row>
    <row r="4" spans="1:14" x14ac:dyDescent="0.2">
      <c r="A4" s="7" t="s">
        <v>14</v>
      </c>
      <c r="B4" s="8">
        <v>3.0445159999999998</v>
      </c>
      <c r="C4" s="8">
        <v>0.125</v>
      </c>
      <c r="D4" s="8">
        <v>0.24510599999999999</v>
      </c>
      <c r="E4" s="8">
        <v>0</v>
      </c>
      <c r="F4" s="8">
        <v>-5.0430000000000001E-11</v>
      </c>
      <c r="G4" s="8">
        <v>2.2329999999999999E-8</v>
      </c>
      <c r="H4" s="8">
        <v>-3.0460000000000001E-6</v>
      </c>
      <c r="I4" s="8">
        <v>1.16E-4</v>
      </c>
      <c r="J4" s="8">
        <v>-1.145E-3</v>
      </c>
      <c r="K4" s="8">
        <v>0.9839</v>
      </c>
      <c r="L4" s="8">
        <v>0</v>
      </c>
      <c r="M4" s="8">
        <v>-1.655</v>
      </c>
      <c r="N4" s="8">
        <v>1.0840000000000001</v>
      </c>
    </row>
    <row r="5" spans="1:14" x14ac:dyDescent="0.2">
      <c r="A5" s="7" t="s">
        <v>15</v>
      </c>
      <c r="B5" s="8">
        <v>3.4054540000000002</v>
      </c>
      <c r="C5" s="8">
        <v>0.12</v>
      </c>
      <c r="D5" s="8">
        <v>-0.93245</v>
      </c>
      <c r="E5" s="8">
        <v>-1.5569999999999999E-12</v>
      </c>
      <c r="F5" s="8">
        <v>4.5560000000000001E-10</v>
      </c>
      <c r="G5" s="8">
        <v>-4.1859999999999999E-8</v>
      </c>
      <c r="H5" s="8">
        <v>8.3460000000000002E-7</v>
      </c>
      <c r="I5" s="8">
        <v>5.482E-5</v>
      </c>
      <c r="J5" s="8">
        <v>-3.1909999999999998E-3</v>
      </c>
      <c r="K5" s="8">
        <v>0.97289999999999999</v>
      </c>
      <c r="L5" s="8">
        <v>0</v>
      </c>
      <c r="M5" s="8">
        <v>-1.534</v>
      </c>
      <c r="N5" s="8">
        <v>0.97899999999999998</v>
      </c>
    </row>
    <row r="6" spans="1:14" x14ac:dyDescent="0.2">
      <c r="A6" s="7" t="s">
        <v>16</v>
      </c>
      <c r="B6" s="8">
        <v>2.0404900000000001</v>
      </c>
      <c r="C6" s="8">
        <v>0.17699999999999999</v>
      </c>
      <c r="D6" s="8">
        <v>1.0050920000000001</v>
      </c>
      <c r="E6" s="8">
        <v>0</v>
      </c>
      <c r="F6" s="8">
        <v>0</v>
      </c>
      <c r="G6" s="8">
        <v>7.8590000000000005E-10</v>
      </c>
      <c r="H6" s="8">
        <v>-1.9140000000000001E-7</v>
      </c>
      <c r="I6" s="8">
        <v>-9.1279999999999997E-6</v>
      </c>
      <c r="J6" s="8">
        <v>-6.9999999999999999E-4</v>
      </c>
      <c r="K6" s="8">
        <v>0.99809999999999999</v>
      </c>
      <c r="L6" s="8">
        <v>-0.05</v>
      </c>
      <c r="M6" s="8">
        <v>-1.633</v>
      </c>
      <c r="N6" s="8">
        <v>1.151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A1B37-C985-4B4E-8965-77043BFAC806}">
  <dimension ref="A1:E7"/>
  <sheetViews>
    <sheetView workbookViewId="0"/>
  </sheetViews>
  <sheetFormatPr baseColWidth="10" defaultRowHeight="16" x14ac:dyDescent="0.2"/>
  <cols>
    <col min="1" max="1" width="8.83203125" bestFit="1" customWidth="1"/>
    <col min="2" max="2" width="5.6640625" bestFit="1" customWidth="1"/>
    <col min="3" max="5" width="10.33203125" customWidth="1"/>
  </cols>
  <sheetData>
    <row r="1" spans="1:5" x14ac:dyDescent="0.2">
      <c r="A1" s="26" t="s">
        <v>61</v>
      </c>
      <c r="B1" s="27" t="s">
        <v>17</v>
      </c>
      <c r="C1" s="28" t="s">
        <v>63</v>
      </c>
      <c r="D1" s="28" t="s">
        <v>64</v>
      </c>
      <c r="E1" s="29" t="s">
        <v>65</v>
      </c>
    </row>
    <row r="2" spans="1:5" x14ac:dyDescent="0.2">
      <c r="A2" s="18" t="s">
        <v>62</v>
      </c>
      <c r="B2" s="19" t="s">
        <v>1</v>
      </c>
      <c r="C2" s="4">
        <v>-3.0200000000000002E-4</v>
      </c>
      <c r="D2" s="4">
        <v>3.4410000000000003E-2</v>
      </c>
      <c r="E2" s="20">
        <v>0.4325</v>
      </c>
    </row>
    <row r="3" spans="1:5" x14ac:dyDescent="0.2">
      <c r="A3" s="21" t="s">
        <v>62</v>
      </c>
      <c r="B3" s="17" t="s">
        <v>13</v>
      </c>
      <c r="C3" s="5">
        <v>-2.9760000000000002E-4</v>
      </c>
      <c r="D3" s="5">
        <v>3.2000000000000001E-2</v>
      </c>
      <c r="E3" s="22">
        <v>0.47899999999999998</v>
      </c>
    </row>
    <row r="4" spans="1:5" x14ac:dyDescent="0.2">
      <c r="A4" s="23" t="s">
        <v>62</v>
      </c>
      <c r="B4" s="24" t="s">
        <v>14</v>
      </c>
      <c r="C4" s="6">
        <v>-1.9230000000000001E-4</v>
      </c>
      <c r="D4" s="6">
        <v>1.9349999999999999E-2</v>
      </c>
      <c r="E4" s="25">
        <v>0.68989999999999996</v>
      </c>
    </row>
    <row r="5" spans="1:5" x14ac:dyDescent="0.2">
      <c r="A5" s="18" t="s">
        <v>66</v>
      </c>
      <c r="B5" s="19" t="s">
        <v>1</v>
      </c>
      <c r="C5" s="4">
        <v>2.222E-3</v>
      </c>
      <c r="D5" s="4">
        <v>-2.5559999999999999E-2</v>
      </c>
      <c r="E5" s="20">
        <v>0.62219999999999998</v>
      </c>
    </row>
    <row r="6" spans="1:5" x14ac:dyDescent="0.2">
      <c r="A6" s="21" t="s">
        <v>66</v>
      </c>
      <c r="B6" s="17" t="s">
        <v>13</v>
      </c>
      <c r="C6" s="5">
        <v>-2.7780000000000001E-3</v>
      </c>
      <c r="D6" s="5">
        <v>0.11940000000000001</v>
      </c>
      <c r="E6" s="22">
        <v>-0.27779999999999999</v>
      </c>
    </row>
    <row r="7" spans="1:5" x14ac:dyDescent="0.2">
      <c r="A7" s="23" t="s">
        <v>66</v>
      </c>
      <c r="B7" s="24" t="s">
        <v>14</v>
      </c>
      <c r="C7" s="6">
        <v>-5.5559999999999995E-4</v>
      </c>
      <c r="D7" s="6">
        <v>3.7220000000000003E-2</v>
      </c>
      <c r="E7" s="25">
        <v>0.4778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Complete</vt:lpstr>
      <vt:lpstr>Table1</vt:lpstr>
      <vt:lpstr>Table2</vt:lpstr>
      <vt:lpstr>Table3</vt:lpstr>
      <vt:lpstr>Table4</vt:lpstr>
      <vt:lpstr>Table5</vt:lpstr>
      <vt:lpstr>Table7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2020-02-26T02:05:16Z</cp:lastPrinted>
  <dcterms:created xsi:type="dcterms:W3CDTF">2020-02-06T22:52:12Z</dcterms:created>
  <dcterms:modified xsi:type="dcterms:W3CDTF">2020-04-29T19:52:27Z</dcterms:modified>
</cp:coreProperties>
</file>